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5700" tabRatio="1000" activeTab="0"/>
  </bookViews>
  <sheets>
    <sheet name="1.International-investment" sheetId="1" r:id="rId1"/>
    <sheet name="2.Pledges" sheetId="2" r:id="rId2"/>
    <sheet name="3.Aid" sheetId="3" r:id="rId3"/>
    <sheet name="4.CPA" sheetId="4" r:id="rId4"/>
    <sheet name="5.Top5-global-recip" sheetId="5" r:id="rId5"/>
    <sheet name="6.ODA-per-capita" sheetId="6" r:id="rId6"/>
    <sheet name="7.Top10donors" sheetId="7" r:id="rId7"/>
    <sheet name="8.DAC-donors" sheetId="8" r:id="rId8"/>
    <sheet name="9.Non-DAC-donors" sheetId="9" r:id="rId9"/>
    <sheet name="10.Channel" sheetId="10" r:id="rId10"/>
    <sheet name="11.Pooled-funds" sheetId="11" r:id="rId11"/>
    <sheet name="12.ARTF" sheetId="12" r:id="rId12"/>
    <sheet name="13.Channel" sheetId="13" r:id="rId13"/>
    <sheet name="14.Funding-via-military" sheetId="14" r:id="rId14"/>
    <sheet name="15.Sector" sheetId="15" r:id="rId15"/>
    <sheet name="16.Total-HA" sheetId="16" r:id="rId16"/>
    <sheet name="17.HA-per-capita" sheetId="17" r:id="rId17"/>
    <sheet name="18.NGO-UN-share-HAP" sheetId="18" r:id="rId18"/>
    <sheet name="19.Security-sector" sheetId="19" r:id="rId19"/>
    <sheet name="20.Non-ODA" sheetId="20" r:id="rId20"/>
    <sheet name="21.Cost-of-war" sheetId="21" r:id="rId21"/>
    <sheet name="22.ISAF-troops" sheetId="22" r:id="rId22"/>
    <sheet name="23.Other-peacekeeping" sheetId="23" r:id="rId23"/>
    <sheet name="24&amp;25.Domestic-flows" sheetId="24" r:id="rId24"/>
    <sheet name="26.MDG-progress" sheetId="25" r:id="rId25"/>
    <sheet name="27&amp;28.Security-incidents" sheetId="26" r:id="rId26"/>
    <sheet name="DATA-Pooled-funds" sheetId="27" r:id="rId27"/>
    <sheet name="DATA-Donor-profiles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/>
  <calcPr fullCalcOnLoad="1"/>
</workbook>
</file>

<file path=xl/comments12.xml><?xml version="1.0" encoding="utf-8"?>
<comments xmlns="http://schemas.openxmlformats.org/spreadsheetml/2006/main">
  <authors>
    <author>Lydia</author>
  </authors>
  <commentList>
    <comment ref="J28" authorId="0">
      <text>
        <r>
          <rPr>
            <b/>
            <sz val="9"/>
            <rFont val="Tahoma"/>
            <family val="2"/>
          </rPr>
          <t>Lydia:</t>
        </r>
        <r>
          <rPr>
            <sz val="9"/>
            <rFont val="Tahoma"/>
            <family val="2"/>
          </rPr>
          <t xml:space="preserve">
Forecast</t>
        </r>
      </text>
    </comment>
  </commentList>
</comments>
</file>

<file path=xl/comments16.xml><?xml version="1.0" encoding="utf-8"?>
<comments xmlns="http://schemas.openxmlformats.org/spreadsheetml/2006/main">
  <authors>
    <author>Lydia</author>
    <author> KerryS</author>
  </authors>
  <commentList>
    <comment ref="R3" authorId="0">
      <text>
        <r>
          <rPr>
            <b/>
            <sz val="9"/>
            <rFont val="Tahoma"/>
            <family val="2"/>
          </rPr>
          <t>Lydia:</t>
        </r>
        <r>
          <rPr>
            <sz val="9"/>
            <rFont val="Tahoma"/>
            <family val="2"/>
          </rPr>
          <t xml:space="preserve">
FTS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 KerryS:
</t>
        </r>
        <r>
          <rPr>
            <sz val="8"/>
            <rFont val="Tahoma"/>
            <family val="2"/>
          </rPr>
          <t>NDD FTS data, 2000-2008, excludes contirbutions from Turkey</t>
        </r>
      </text>
    </comment>
  </commentList>
</comments>
</file>

<file path=xl/comments17.xml><?xml version="1.0" encoding="utf-8"?>
<comments xmlns="http://schemas.openxmlformats.org/spreadsheetml/2006/main">
  <authors>
    <author>Lydia</author>
    <author> KerryS</author>
  </authors>
  <commentList>
    <comment ref="Q4" authorId="0">
      <text>
        <r>
          <rPr>
            <b/>
            <sz val="9"/>
            <rFont val="Tahoma"/>
            <family val="2"/>
          </rPr>
          <t>Lydia:</t>
        </r>
        <r>
          <rPr>
            <sz val="9"/>
            <rFont val="Tahoma"/>
            <family val="2"/>
          </rPr>
          <t xml:space="preserve">
FTS
</t>
        </r>
      </text>
    </comment>
    <comment ref="Q21" authorId="1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FTS</t>
        </r>
      </text>
    </comment>
  </commentList>
</comments>
</file>

<file path=xl/comments21.xml><?xml version="1.0" encoding="utf-8"?>
<comments xmlns="http://schemas.openxmlformats.org/spreadsheetml/2006/main">
  <authors>
    <author>LydiaP</author>
  </authors>
  <commentList>
    <comment ref="A3" authorId="0">
      <text>
        <r>
          <rPr>
            <b/>
            <sz val="9"/>
            <rFont val="Tahoma"/>
            <family val="2"/>
          </rPr>
          <t>LydiaP:</t>
        </r>
        <r>
          <rPr>
            <sz val="9"/>
            <rFont val="Tahoma"/>
            <family val="2"/>
          </rPr>
          <t xml:space="preserve">
Note OEF includes counter terrorism Ops in Pakistan and other parts of the world to a lesser extent</t>
        </r>
      </text>
    </comment>
    <comment ref="A6" authorId="0">
      <text>
        <r>
          <rPr>
            <b/>
            <sz val="9"/>
            <rFont val="Tahoma"/>
            <family val="2"/>
          </rPr>
          <t>LydiaP:</t>
        </r>
        <r>
          <rPr>
            <sz val="9"/>
            <rFont val="Tahoma"/>
            <family val="2"/>
          </rPr>
          <t xml:space="preserve">
MOD identifies cost of Operations in terms of net additional costs incurred. Savings on activities that have not occured as a result of the Op are taken into account. </t>
        </r>
      </text>
    </comment>
  </commentList>
</comments>
</file>

<file path=xl/sharedStrings.xml><?xml version="1.0" encoding="utf-8"?>
<sst xmlns="http://schemas.openxmlformats.org/spreadsheetml/2006/main" count="3402" uniqueCount="544">
  <si>
    <t>India</t>
  </si>
  <si>
    <t>Pakistan</t>
  </si>
  <si>
    <t>Iraq</t>
  </si>
  <si>
    <t>Afghanistan</t>
  </si>
  <si>
    <t>Palestinian Adm. Areas</t>
  </si>
  <si>
    <t>Viet Nam</t>
  </si>
  <si>
    <t>Ethiopia</t>
  </si>
  <si>
    <t>Serbia</t>
  </si>
  <si>
    <t>Tanzania</t>
  </si>
  <si>
    <t>Indonesia</t>
  </si>
  <si>
    <t>China</t>
  </si>
  <si>
    <t>Sudan</t>
  </si>
  <si>
    <t>Aid type</t>
  </si>
  <si>
    <t>Memo: ODA Total, excl. Debt</t>
  </si>
  <si>
    <t>Amount type</t>
  </si>
  <si>
    <t>Constant Prices (2008 USD millions)</t>
  </si>
  <si>
    <t>1st year of international military involvement</t>
  </si>
  <si>
    <t>Total ODA</t>
  </si>
  <si>
    <t>ODA per capita</t>
  </si>
  <si>
    <t>Bosnia</t>
  </si>
  <si>
    <t>Sierra Leone</t>
  </si>
  <si>
    <t>Non-DAC countries</t>
  </si>
  <si>
    <t>DAC Countries</t>
  </si>
  <si>
    <t>Multilateral Agencies</t>
  </si>
  <si>
    <t>Total</t>
  </si>
  <si>
    <t>Source:</t>
  </si>
  <si>
    <t>Total 2002-2009</t>
  </si>
  <si>
    <t>Afghanistan DAD + World Bank ARTF contributions</t>
  </si>
  <si>
    <t>Bahrain</t>
  </si>
  <si>
    <t>OECD DAC</t>
  </si>
  <si>
    <t>Czech Republic</t>
  </si>
  <si>
    <t>Poland</t>
  </si>
  <si>
    <t>Total Aid</t>
  </si>
  <si>
    <t>Turkey</t>
  </si>
  <si>
    <t>Iran</t>
  </si>
  <si>
    <t>Russian Federation</t>
  </si>
  <si>
    <t>Others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</si>
  <si>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Code="625"&gt;&lt;Name LocaleIsoCode="en"&gt;Afghanistan&lt;/Name&gt;&lt;/Member&gt;&lt;/Dimension&gt;&lt;Dimension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Code="250"&gt;&lt;Name LocaleIsoCode="en"&gt;Memo: ODA Total, excl. Debt&lt;/Name&gt;&lt;/Member&gt;&lt;/Dimension&gt;&lt;Dimension Code="DATATYPE" Display="labels"&gt;&lt;Name LocaleIsoCode="en"&gt;Amount type&lt;/Name&gt;&lt;Member Code="A"&gt;&lt;Name LocaleIsoCode="en"&gt;Current Prices (USD millions)&lt;/Name&gt;&lt;/Member&gt;&lt;/Dimension&gt;&lt;Dimension Code="TIME" CommonCode="TIME" Display="labels"&gt;&lt;Name LocaleIsoCode="en"&gt;Year&lt;/Name&gt;&lt;Member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Annual="1960"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Code="PART" /&gt;&lt;Dimension Code="AIDTYPE" /&gt;&lt;Dimension Code="RECIPIENT" CommonCode="DAC_RECIPIENT"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</si>
  <si>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DAC2a ODA Disbursements</t>
  </si>
  <si>
    <t>Part</t>
  </si>
  <si>
    <t>1: 1 : Part I - Developing Countries</t>
  </si>
  <si>
    <t>Recipient</t>
  </si>
  <si>
    <t>Current Prices (USD millions)</t>
  </si>
  <si>
    <t>Year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</si>
  <si>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</si>
  <si>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</si>
  <si>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</si>
  <si>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</si>
  <si>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</si>
  <si>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</si>
  <si>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</si>
  <si>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</si>
  <si>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</si>
  <si>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</si>
  <si>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</si>
  <si>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</si>
  <si>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</si>
  <si>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</si>
  <si>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</si>
  <si>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</si>
  <si>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</si>
  <si>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</si>
  <si>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</si>
  <si>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</si>
  <si>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</si>
  <si>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</si>
  <si>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</si>
  <si>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</si>
  <si>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</si>
  <si>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</si>
  <si>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</si>
  <si>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</si>
  <si>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</si>
  <si>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</si>
  <si>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</si>
  <si>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</si>
  <si>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</si>
  <si>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</si>
  <si>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</si>
  <si>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</si>
  <si>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</si>
  <si>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</si>
  <si>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</si>
  <si>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</si>
  <si>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</si>
  <si>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</si>
  <si>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</si>
  <si>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</si>
  <si>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</si>
  <si>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</si>
  <si>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</si>
  <si>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</si>
  <si>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</si>
  <si>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</si>
  <si>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Donor</t>
  </si>
  <si>
    <t/>
  </si>
  <si>
    <t>All Donors, Total</t>
  </si>
  <si>
    <t>DAC Countries, Total</t>
  </si>
  <si>
    <t>Multilateral Agencies, Total</t>
  </si>
  <si>
    <t>Non-DAC Countries,Total</t>
  </si>
  <si>
    <t>..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</si>
  <si>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</si>
  <si>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</si>
  <si>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</si>
  <si>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</si>
  <si>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</si>
  <si>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</si>
  <si>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</si>
  <si>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</si>
  <si>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</si>
  <si>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</si>
  <si>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</si>
  <si>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</si>
  <si>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</si>
  <si>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</si>
  <si>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 xml:space="preserve">Korea 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</si>
  <si>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</si>
  <si>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</si>
  <si>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</si>
  <si>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</si>
  <si>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</si>
  <si>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</si>
  <si>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</si>
  <si>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</si>
  <si>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</si>
  <si>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</si>
  <si>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</si>
  <si>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</si>
  <si>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Hungary</t>
  </si>
  <si>
    <t>Iceland</t>
  </si>
  <si>
    <t>Israel</t>
  </si>
  <si>
    <t>Slovak Republic</t>
  </si>
  <si>
    <t>Slovenia</t>
  </si>
  <si>
    <t>Thailand</t>
  </si>
  <si>
    <t>United Arab Emirates</t>
  </si>
  <si>
    <t>Arab Countries</t>
  </si>
  <si>
    <t>Other Donor Countries, Total</t>
  </si>
  <si>
    <t>AfDB (African Dev. Bank)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</si>
  <si>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</si>
  <si>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</si>
  <si>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</si>
  <si>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</si>
  <si>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</si>
  <si>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</si>
  <si>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</si>
  <si>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GAVI</t>
  </si>
  <si>
    <t>Global Fund</t>
  </si>
  <si>
    <t>IAEA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</si>
  <si>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</si>
  <si>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</si>
  <si>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</si>
  <si>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</si>
  <si>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</si>
  <si>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</si>
  <si>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</si>
  <si>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</si>
  <si>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</si>
  <si>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</si>
  <si>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</si>
  <si>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UNECE</t>
  </si>
  <si>
    <t>UNFPA</t>
  </si>
  <si>
    <t>UNHCR</t>
  </si>
  <si>
    <t>UNICEF</t>
  </si>
  <si>
    <t>UNRWA</t>
  </si>
  <si>
    <t>UNTA</t>
  </si>
  <si>
    <t>WFP</t>
  </si>
  <si>
    <t>WHO</t>
  </si>
  <si>
    <t>Bill &amp; Melinda Gates Foundation</t>
  </si>
  <si>
    <t>data extracted on 15 Dec 2010 10:48 UTC (GMT) from OECD.Stat</t>
  </si>
  <si>
    <t>DAC countries total</t>
  </si>
  <si>
    <t>Other DAC countries</t>
  </si>
  <si>
    <t>Predicted 2010</t>
  </si>
  <si>
    <t>Aid from all donors</t>
  </si>
  <si>
    <t>Total aid outside of ARTF</t>
  </si>
  <si>
    <t>Non-preferenced contributions</t>
  </si>
  <si>
    <t>Preferenced contributions</t>
  </si>
  <si>
    <t>ARTF as percentage of total aid</t>
  </si>
  <si>
    <t>Disbursements</t>
  </si>
  <si>
    <t>SY1381</t>
  </si>
  <si>
    <t>SY1382</t>
  </si>
  <si>
    <t>SY1383</t>
  </si>
  <si>
    <t>SY1384</t>
  </si>
  <si>
    <t>SY1385</t>
  </si>
  <si>
    <t>SY1386</t>
  </si>
  <si>
    <t>SY1387</t>
  </si>
  <si>
    <t>SY1388</t>
  </si>
  <si>
    <t>SY1389</t>
  </si>
  <si>
    <t>Recurrent window</t>
  </si>
  <si>
    <t xml:space="preserve">Investment window </t>
  </si>
  <si>
    <t xml:space="preserve">Source: </t>
  </si>
  <si>
    <t>World Bank 'ARTF Administrator’s Report on Financial Status' October 2010</t>
  </si>
  <si>
    <t>http://www.worldbank.org.af/WBSITE/EXTERNAL/COUNTRIES/SOUTHASIAEXT/AFGHANISTANEXTN/0,,contentMDK:21947849~pagePK:141137~piPK:141127~theSitePK:305985,00.html</t>
  </si>
  <si>
    <t>Note, adjusted to Gregorian calendar</t>
  </si>
  <si>
    <t>Source: OECD DAC, Development Initiatives analysis, 1995 - 2009 Constant Prices (2008 USD millions)*</t>
  </si>
  <si>
    <t>Source: UN OCHA FTS 2010 Current prices</t>
  </si>
  <si>
    <t>Total humanitarian aid</t>
  </si>
  <si>
    <t>Humanitarian aid per capita</t>
  </si>
  <si>
    <t>Somalia</t>
  </si>
  <si>
    <t>OPT</t>
  </si>
  <si>
    <t>Total humanitarian aid (reported to the DAC)</t>
  </si>
  <si>
    <t>Non-DAC donor humanitarian aid (reported through the FTS)</t>
  </si>
  <si>
    <t>difference</t>
  </si>
  <si>
    <t>percentage change</t>
  </si>
  <si>
    <t>Security</t>
  </si>
  <si>
    <t>Governance</t>
  </si>
  <si>
    <t>Social and economic development</t>
  </si>
  <si>
    <t>Cross cutting issues</t>
  </si>
  <si>
    <t>ANDS Pillar</t>
  </si>
  <si>
    <t>1. Security</t>
  </si>
  <si>
    <t>2. Good governance</t>
  </si>
  <si>
    <t>7. Social protection</t>
  </si>
  <si>
    <t>Counter narcotics</t>
  </si>
  <si>
    <t>Sector</t>
  </si>
  <si>
    <t>Justice</t>
  </si>
  <si>
    <t>Governance, public administration reforms and human rights</t>
  </si>
  <si>
    <t>Name</t>
  </si>
  <si>
    <t>Afghan National Army (ANA) Trust Fund</t>
  </si>
  <si>
    <t>Law and Order Trust Fund for Afghanistan (LOTFA)</t>
  </si>
  <si>
    <t>Afghanistan Reconstruction Trust Fund (ARTF)</t>
  </si>
  <si>
    <t>NATO Post Operations Emergency Response Fund (POERF)</t>
  </si>
  <si>
    <t>UN Emergency Response Fund (ERF)</t>
  </si>
  <si>
    <t>Counter Narcotics Trust Fund (CNTF)</t>
  </si>
  <si>
    <t>Administering agent</t>
  </si>
  <si>
    <t>NATO</t>
  </si>
  <si>
    <t>World Bank</t>
  </si>
  <si>
    <t>UN OCHA</t>
  </si>
  <si>
    <t>Period of contributions reported</t>
  </si>
  <si>
    <t>Total value of contributions (US$ million)</t>
  </si>
  <si>
    <t>Donor contributions US$ million</t>
  </si>
  <si>
    <t>Bulgaria</t>
  </si>
  <si>
    <t>Estonia</t>
  </si>
  <si>
    <t>Lithuania</t>
  </si>
  <si>
    <t>Commitments</t>
  </si>
  <si>
    <t>European Commission</t>
  </si>
  <si>
    <t>Saudi Arabia</t>
  </si>
  <si>
    <t>Kuwait</t>
  </si>
  <si>
    <t>UAE</t>
  </si>
  <si>
    <t>Oman</t>
  </si>
  <si>
    <t>Qatar</t>
  </si>
  <si>
    <t>Total donor contributions to ARTF</t>
  </si>
  <si>
    <t>UN agencies (plus IOM)</t>
  </si>
  <si>
    <t>NGOs</t>
  </si>
  <si>
    <t>All recipients</t>
  </si>
  <si>
    <t>Appeal title</t>
  </si>
  <si>
    <t>Total funding US$ million</t>
  </si>
  <si>
    <t>% of total funding</t>
  </si>
  <si>
    <t>Number of projects funded</t>
  </si>
  <si>
    <t>Average project size US$ million</t>
  </si>
  <si>
    <t>No of projects funded</t>
  </si>
  <si>
    <t>Afghanistan HAP 2009</t>
  </si>
  <si>
    <t>Afghanistan HAP 2010</t>
  </si>
  <si>
    <t>Domestic public revenues</t>
  </si>
  <si>
    <t>General government revenue</t>
  </si>
  <si>
    <t>Private flows</t>
  </si>
  <si>
    <t>Potential gross opium revenue</t>
  </si>
  <si>
    <t>Estimated potential income from remittances</t>
  </si>
  <si>
    <t xml:space="preserve">Aid </t>
  </si>
  <si>
    <t>Aid reported to DAC from DAC donors and multilaterals; Aid from non DAC donors reported in DADs</t>
  </si>
  <si>
    <t>Foreign military operations (NATO ISAF and OEF)</t>
  </si>
  <si>
    <t>Security related aid/non ODA eligible</t>
  </si>
  <si>
    <t>Contributions to LOTFA, 2002-2009</t>
  </si>
  <si>
    <t>Contributions to CNTF, 2002-2009</t>
  </si>
  <si>
    <t>Total contributed to government aligned pooled funds</t>
  </si>
  <si>
    <t xml:space="preserve">Total bilateral and imputed multilateral aid </t>
  </si>
  <si>
    <t>(US$ million)</t>
  </si>
  <si>
    <t>%</t>
  </si>
  <si>
    <t xml:space="preserve">Contributions to aid spent through multilateral agencies </t>
  </si>
  <si>
    <t>Troop contributions to NATO ISAF at Oct 2010</t>
  </si>
  <si>
    <t>% of total bilateral aid channeled via government aligned pooled funds</t>
  </si>
  <si>
    <t>Military expenditure 2002-2009</t>
  </si>
  <si>
    <t>No data</t>
  </si>
  <si>
    <t>% of total ISAF troop contributions at Oct 2010</t>
  </si>
  <si>
    <t>Total Sector allocable aid</t>
  </si>
  <si>
    <t>2000-2003</t>
  </si>
  <si>
    <t>2004-2008</t>
  </si>
  <si>
    <t>Education</t>
  </si>
  <si>
    <t>Health</t>
  </si>
  <si>
    <t>Population programmes and reproductive health</t>
  </si>
  <si>
    <t>3. Infrastructure and natural resources</t>
  </si>
  <si>
    <t>Water and sanitation</t>
  </si>
  <si>
    <t>4. Education and culture</t>
  </si>
  <si>
    <t>Government and civil society</t>
  </si>
  <si>
    <t>5. Health and nutrition</t>
  </si>
  <si>
    <t>Other social infrastructure and services</t>
  </si>
  <si>
    <t>6. Agriculture and rural development</t>
  </si>
  <si>
    <t>Economic infrastructure and services</t>
  </si>
  <si>
    <t>Production sectors (including agriculture)</t>
  </si>
  <si>
    <t>8. Economic governance and private sector development</t>
  </si>
  <si>
    <t>Multi-sector</t>
  </si>
  <si>
    <t>Capacity building</t>
  </si>
  <si>
    <t>General budget support</t>
  </si>
  <si>
    <t>Food aid and other commodities</t>
  </si>
  <si>
    <t>Debt relief</t>
  </si>
  <si>
    <t>Humanitarian aid</t>
  </si>
  <si>
    <t xml:space="preserve">Other </t>
  </si>
  <si>
    <t>Check</t>
  </si>
  <si>
    <t>Latvia</t>
  </si>
  <si>
    <t>Public sector (recipient)</t>
  </si>
  <si>
    <t>Public sector (donor)</t>
  </si>
  <si>
    <t>International NGOs</t>
  </si>
  <si>
    <t>Local NGOs</t>
  </si>
  <si>
    <t xml:space="preserve">UN Agencies, Funds and Commisions </t>
  </si>
  <si>
    <t>Other Multilateral Institutions</t>
  </si>
  <si>
    <t>OTHER</t>
  </si>
  <si>
    <t>Russia</t>
  </si>
  <si>
    <t>Korea</t>
  </si>
  <si>
    <t xml:space="preserve">Austria </t>
  </si>
  <si>
    <t>Brunei</t>
  </si>
  <si>
    <t>Kazakhstan</t>
  </si>
  <si>
    <t>Singapore</t>
  </si>
  <si>
    <t>% of pledges fulfilled by end 2009</t>
  </si>
  <si>
    <t>Total Pledged 2002-2013</t>
  </si>
  <si>
    <t>Total committed 2002-2009</t>
  </si>
  <si>
    <t>NA</t>
  </si>
  <si>
    <t>Contributions to ARTF 2002-2009</t>
  </si>
  <si>
    <t>Cyprus</t>
  </si>
  <si>
    <t xml:space="preserve">Total </t>
  </si>
  <si>
    <t>United States (DoD)</t>
  </si>
  <si>
    <t xml:space="preserve">United States </t>
  </si>
  <si>
    <t>Other multilateral peackeeping (UNAMA and EUPOL)</t>
  </si>
  <si>
    <t>Action</t>
  </si>
  <si>
    <t>Source</t>
  </si>
  <si>
    <t>Notes</t>
  </si>
  <si>
    <t>Total cost of military operations</t>
  </si>
  <si>
    <t>United States OEF (including ISAF costs), US fiscal year</t>
  </si>
  <si>
    <t>Congressional Resarch service report http://www.fas.org/sgp/crs/natsec/RL33110.pdf</t>
  </si>
  <si>
    <t xml:space="preserve">Congressional Research Service 'estimated war funding for DoD'. OEF and ISAF costs not disaggreted. </t>
  </si>
  <si>
    <t xml:space="preserve">United States  </t>
  </si>
  <si>
    <t>SIPRI multilateral peacekeeping operations database. Downloaded 02/10/10</t>
  </si>
  <si>
    <t>United Kingdom (UK financial year)</t>
  </si>
  <si>
    <t>Reconcile UK financial year with calendar year</t>
  </si>
  <si>
    <t>UK MoD Freedom of Information request supplied 22 March 2010</t>
  </si>
  <si>
    <t xml:space="preserve">United Kingdom </t>
  </si>
  <si>
    <t xml:space="preserve">Australia </t>
  </si>
  <si>
    <t>Check financial year; 2010 still in AUS $</t>
  </si>
  <si>
    <t>http://www.defence.gov.au/annualreports/</t>
  </si>
  <si>
    <t>Note 2009/10 and 2010/11 budgeted figures; 2002/3 and 2005/6 reported under Operation Catalyst and not disaggregated</t>
  </si>
  <si>
    <t>Canada (Canadian fiscal year)</t>
  </si>
  <si>
    <t>Parliamentary Budget Office report by Kevin Page, 2008, Fiscal Impact of the Canadian Mission in Afghanistan; http://www2.parl.gc.ca/Sites/PBO-DPB/default.aspx</t>
  </si>
  <si>
    <t>Total Incremental Cost summation for DND, assuming 8% of relevant capital assets deployed for Afghanistan</t>
  </si>
  <si>
    <t xml:space="preserve">Canada  </t>
  </si>
  <si>
    <t xml:space="preserve">Italy </t>
  </si>
  <si>
    <t>2010 in EUR</t>
  </si>
  <si>
    <t>Italian Defence Ministry : http://www.difesa.it/default.htm</t>
  </si>
  <si>
    <t>2008 and 2009 includes costs of contributions to EUPOL</t>
  </si>
  <si>
    <t xml:space="preserve">Germany </t>
  </si>
  <si>
    <t xml:space="preserve">http://www.diw.de/deutsch ; pers comm. </t>
  </si>
  <si>
    <t>Note these are budgeted not actual figures</t>
  </si>
  <si>
    <t xml:space="preserve">Poland </t>
  </si>
  <si>
    <t>2010 currently based on 2009 exchange rate</t>
  </si>
  <si>
    <t>Ministry of National Defence, Poland</t>
  </si>
  <si>
    <t>India*</t>
  </si>
  <si>
    <t>Russia*</t>
  </si>
  <si>
    <t>China*</t>
  </si>
  <si>
    <t>Kuwait*</t>
  </si>
  <si>
    <t>Iceland*</t>
  </si>
  <si>
    <t>Singapore*</t>
  </si>
  <si>
    <t>Estonia*</t>
  </si>
  <si>
    <t>Kazakhstan*</t>
  </si>
  <si>
    <t>Cyprus*</t>
  </si>
  <si>
    <t>Latvia*</t>
  </si>
  <si>
    <t>Pakistan*</t>
  </si>
  <si>
    <t>Qatar*</t>
  </si>
  <si>
    <t>Oman*</t>
  </si>
  <si>
    <t>Korea, Rep</t>
  </si>
  <si>
    <t>Brunei Darussalam*</t>
  </si>
  <si>
    <t>Iran (Islamic Republic of)*</t>
  </si>
  <si>
    <t>US$m</t>
  </si>
  <si>
    <t>US$b</t>
  </si>
  <si>
    <t>Total disbursed 2002-2009</t>
  </si>
  <si>
    <t>Bilateral aid to Afghanistan as % of aid from all donors 2002-2009</t>
  </si>
  <si>
    <t>Multilateral agencies</t>
  </si>
  <si>
    <t xml:space="preserve">Bilateral aid to Afghanistan as % of aid from all donors </t>
  </si>
  <si>
    <t>National troop contribution as share of total ISAF force at Oct 2010</t>
  </si>
  <si>
    <t xml:space="preserve">Total bilateral aid disbursed </t>
  </si>
  <si>
    <t>Indicator</t>
  </si>
  <si>
    <t>Baseline</t>
  </si>
  <si>
    <t xml:space="preserve">Latest measurement </t>
  </si>
  <si>
    <t>Targets</t>
  </si>
  <si>
    <t>MDG goal</t>
  </si>
  <si>
    <t>Goal 4: (On Track)
Reduce child mortality</t>
  </si>
  <si>
    <t>Under 5 mortality rate (per 1000 live births)</t>
  </si>
  <si>
    <t>Proportion of 1‐year old children immunised against measles (%)</t>
  </si>
  <si>
    <t>Goal 6: (On Track)
Combat HIV/AIDS,
malaria and other
diseases</t>
  </si>
  <si>
    <t>Proportion of population in malaria risk areas using
effective malaria prevention measures</t>
  </si>
  <si>
    <t>Prevalence rates associated with tuberculosis (per
100.000 population)</t>
  </si>
  <si>
    <t>Goal 9: (On Track) Enhance security</t>
  </si>
  <si>
    <t>Security expenditure as a % of Public Expenditures (core +devt budget)</t>
  </si>
  <si>
    <t>Operational Capability (Battalions with validated
capability)</t>
  </si>
  <si>
    <t>Goal 2: (Achievable)
Achieve universal
primary education</t>
  </si>
  <si>
    <t>Net enrolment ratio in primary education</t>
  </si>
  <si>
    <t>Primary completion rate</t>
  </si>
  <si>
    <t>Goal 5: (Achievable)
Improve maternal
health</t>
  </si>
  <si>
    <t>Proportion of births attended by skilled personnel (%)</t>
  </si>
  <si>
    <t>Fertility rate (number of live births per woman)</t>
  </si>
  <si>
    <t>Goal 7: (Achievable)
Ensure Environmental
sustainability</t>
  </si>
  <si>
    <t>Proportion of land area covered by forest</t>
  </si>
  <si>
    <t>Proportion of population with sustainable access to
an improved water source, urban and rural</t>
  </si>
  <si>
    <t>Total slum population</t>
  </si>
  <si>
    <t>Goal 8: (Achievable)
Develop a global
partnership for
development</t>
  </si>
  <si>
    <t>Proportion of bilateral ODA of OECD/DAC donors that is
untied</t>
  </si>
  <si>
    <t>Unemployment rate of young people aged 15‐24 years</t>
  </si>
  <si>
    <t>Cellular subscribers per 1,000 population</t>
  </si>
  <si>
    <t>Goal 1: (Difficult)
Eradicate extreme
poverty and hunger</t>
  </si>
  <si>
    <t>Proportion of population below 'cost of basic necessities' poverty level</t>
  </si>
  <si>
    <t>Proportion of population below minimum level of
dietary energy consumption (&lt;2100 cal./day)</t>
  </si>
  <si>
    <t>Goal 3: (Difficult)
Promote gender
equality and empower
women</t>
  </si>
  <si>
    <t>Ratio of girls to boys in primary education</t>
  </si>
  <si>
    <t>Ratio of female to male Government employees
(central)</t>
  </si>
  <si>
    <t>Nationals affected</t>
  </si>
  <si>
    <t>Internationals affected</t>
  </si>
  <si>
    <t>Grand Total</t>
  </si>
  <si>
    <t>The Aid Worker Security Database</t>
  </si>
  <si>
    <t>http://www.aidworkersecurity.org/index.php</t>
  </si>
  <si>
    <t>Accessed: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</si>
  <si>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</si>
  <si>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</si>
  <si>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</si>
  <si>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</si>
  <si>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</si>
  <si>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</si>
  <si>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</si>
  <si>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</si>
  <si>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</si>
  <si>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</si>
  <si>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</si>
  <si>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</si>
  <si>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Jan-Jun 2007</t>
  </si>
  <si>
    <t>Jul-Dec 2007</t>
  </si>
  <si>
    <t>Jan-Jun 2008</t>
  </si>
  <si>
    <t>Jul-Dec 2008</t>
  </si>
  <si>
    <t>Jan-Jun 2009</t>
  </si>
  <si>
    <t>Jul-Dec 2009</t>
  </si>
  <si>
    <t>Jan-Jun 2010</t>
  </si>
  <si>
    <t xml:space="preserve">UNAMA Human Rights </t>
  </si>
  <si>
    <t>http://unama.unmissions.org/Default.aspx?tabid=1816</t>
  </si>
  <si>
    <t>2009 Annual report</t>
  </si>
  <si>
    <t>2010 Mid year review</t>
  </si>
  <si>
    <t>Aid</t>
  </si>
  <si>
    <t>European Commision</t>
  </si>
  <si>
    <t>Government of Afghanistan</t>
  </si>
  <si>
    <t>UN agencies</t>
  </si>
  <si>
    <t>Law and order trust fund</t>
  </si>
  <si>
    <t>Other</t>
  </si>
  <si>
    <t>Other donors</t>
  </si>
  <si>
    <t>Total aid workers affected</t>
  </si>
  <si>
    <t>US$bn</t>
  </si>
  <si>
    <t>UNAMA</t>
  </si>
  <si>
    <t>EUPOL</t>
  </si>
  <si>
    <t>International Committee of the Red Cross; Red Cross and Red Crescent societies</t>
  </si>
  <si>
    <t xml:space="preserve">Total value of contributions </t>
  </si>
  <si>
    <t>US$1,594m</t>
  </si>
  <si>
    <t>US$3,984m</t>
  </si>
  <si>
    <t>US$68m</t>
  </si>
  <si>
    <t>All aid, 2002-2005, US$8,113m</t>
  </si>
  <si>
    <t>All aid, 2006-2009, US$17,146m</t>
  </si>
  <si>
    <t>Sector Allocable Aid, 2002-2005,US$5,293m</t>
  </si>
  <si>
    <t>Sector Allocable Aid, 2006-2009, US$17,720m</t>
  </si>
  <si>
    <t>Figure 2. Aid pledges, commitments and disbursements</t>
  </si>
  <si>
    <t>Source: Development Initiatives based on data from Governments of Australia, Canada, Denmark, Italy, Germany, United Kingdom and United States; NATO; and Development Initiatives research</t>
  </si>
  <si>
    <t xml:space="preserve">Source: SIPRI </t>
  </si>
  <si>
    <t>Source: Development Initiatives based on OECD DAC data</t>
  </si>
  <si>
    <t>Figure 3. Aid to Afghanistan from government donors and multilateral agencies, 2002-2009</t>
  </si>
  <si>
    <t>Source: Development Initiatives based on OECD DAC and Afghanistan DAD data</t>
  </si>
  <si>
    <t xml:space="preserve">Source: World Bank and UNDP </t>
  </si>
  <si>
    <t xml:space="preserve">Figure 16. Aid to Afghanistan by category </t>
  </si>
  <si>
    <t xml:space="preserve">Source: Millennium Development Goals, Islamic Republic of Afghanistan, Annual Progress report 2008 </t>
  </si>
  <si>
    <t xml:space="preserve">Source: United Nations Assistance Mission in Afghanistan (UNAMA) </t>
  </si>
  <si>
    <t>Figure 1. International aid, security and military expenditure, 2002-2009, US$ billion</t>
  </si>
  <si>
    <t xml:space="preserve">Source: Development Initiatives based on GIRoA Ministry of Finance data; Afghanistan DAD; and OECD DAC data. Note all disbursements are based on OECD DAC data excluding India and Russia, which are based on the Afghanistan DAD data. 
</t>
  </si>
  <si>
    <t>Source: Development Initiatives based on OECD DAC; World Bank; United Nations Development Programme (UNDP); and NATO data</t>
  </si>
  <si>
    <t>Source: Development Initiatives based on OECD DAC Creditor Reporting System (CRS) data</t>
  </si>
  <si>
    <t>Source: Development Initiatives based on OECD DAC CRS data</t>
  </si>
  <si>
    <t>Source: Development Initiatives based on World Bank data</t>
  </si>
  <si>
    <t>Source: Development Initiatives based on Afghanistan DAD data</t>
  </si>
  <si>
    <t>Social Infrastructure and Services, 2002-2005, US$3,105m</t>
  </si>
  <si>
    <t>Social Infrastructure and Services, 2006-2009, US$8,379m</t>
  </si>
  <si>
    <t>Source: Development Initiatives based on UN OCHA FTS data</t>
  </si>
  <si>
    <t>Source: Development Initiatives based on OECD DAC; Afghanistan DAD; and International Monetary Fund (IMF) data</t>
  </si>
  <si>
    <t xml:space="preserve">Source: Development Initiatives based on IMF; United Nations office on Drugs and Crime (UNODC) data; and Development Initiatives research </t>
  </si>
  <si>
    <t>DAC countries</t>
  </si>
  <si>
    <t>Non DAC countries</t>
  </si>
  <si>
    <t>Preferenced contributions as % of total</t>
  </si>
  <si>
    <t>UN agencies and NGOs</t>
  </si>
  <si>
    <t xml:space="preserve">Country programmable aid </t>
  </si>
  <si>
    <t>2009 (provisional)</t>
  </si>
  <si>
    <t>2010 (predicted)</t>
  </si>
  <si>
    <t>2011 (predicted)</t>
  </si>
  <si>
    <t>2012 (predicted)</t>
  </si>
  <si>
    <t>Public sector</t>
  </si>
  <si>
    <t>PRT</t>
  </si>
  <si>
    <t>Donor military</t>
  </si>
  <si>
    <t>% of pledges disbursed by end 2009</t>
  </si>
  <si>
    <t>Public sector (unspecified)</t>
  </si>
  <si>
    <t xml:space="preserve">Figure 4. Planned country programmable aid to Afghanistan, excluding predicted aid from United States, Japan and Greece </t>
  </si>
  <si>
    <t xml:space="preserve">Source: OECD DAC </t>
  </si>
  <si>
    <t xml:space="preserve">Source: NATO ISAF </t>
  </si>
  <si>
    <t xml:space="preserve">Source: Development Initiatives based on OECD DAC and UN OCHA Financial Tracking Service (FTS) data. Note 1995-2009 in constant 2008 prices based on OECD DAC data; 2010 in current prices from UN OCHA FTS. </t>
  </si>
  <si>
    <t xml:space="preserve">ISAF </t>
  </si>
  <si>
    <t>NATO ANA Trust Fund</t>
  </si>
  <si>
    <t>Donor/fund</t>
  </si>
  <si>
    <t xml:space="preserve">Source: Development Initiatives based on NATO; United Kingdom Foreign and Commonwealth Office; United States Special Inspector General for Reconstruction in Afghanistan (SIGAR); and OECD DAC data </t>
  </si>
  <si>
    <t xml:space="preserve">Figure 24. Private resource flows, 2002-2009 </t>
  </si>
  <si>
    <t>Figure 25. General government revenue and aid flows, 2002-2009</t>
  </si>
  <si>
    <t xml:space="preserve">Figure 26. Progress against the Millennium Development Goals, 2008 </t>
  </si>
  <si>
    <t>Figure 27. Recorded civilian casualties, January 2007-June 2010</t>
  </si>
  <si>
    <t>Figure 28. Security incidents involving aid workers, 2000-2010</t>
  </si>
  <si>
    <t xml:space="preserve">Figure 5. Top five recipients of aid from all donors reporting to the OECD DAC, 2002-2009, constant 2008 prices, US$ billion </t>
  </si>
  <si>
    <t>Figure 6. Aid per capita in relation to years before and after international military interventions, constant 2008 prices</t>
  </si>
  <si>
    <t xml:space="preserve">Figure 7. Top ten government donors, plus the European Commission, 2002-2009 </t>
  </si>
  <si>
    <t>Share of bilateral aid channelled via government aligned pooled funds</t>
  </si>
  <si>
    <t>Figure 8: DAC donor aid to Afghanistan 2002-2009</t>
  </si>
  <si>
    <t>Figure 9. Non DAC donor aid to Afghanistan, 2002-2009</t>
  </si>
  <si>
    <t>Source: Development Initiatives, based on OECD DAC and Afghanistan DAD data</t>
  </si>
  <si>
    <t>Sources: Development Initiatives based on OECD DAC data; Government of the Islamic Republic of Afghanistan (GIRoA) Donor Assistance Database (DAD); Stockholm International Peace Research Institute (SIPRI) database of Multilateral Peacekeeping Operations; and Development Initiatives research</t>
  </si>
  <si>
    <t>Figure 3. Aid disbursements to Afghanistan from government donors and multilateral agencies, 2002-2009</t>
  </si>
  <si>
    <t>Sources: Development Initiatives based on OECD DAC and Afghanistan DAD data</t>
  </si>
  <si>
    <t xml:space="preserve">Figure 10. Aid channelled through the public sector, 2007-2009 </t>
  </si>
  <si>
    <t xml:space="preserve">Figure 11. Government aligned pooled funds in Afghanistan </t>
  </si>
  <si>
    <t xml:space="preserve">Figure 12. Donor contributions to the Afghanistan Reconstruction Trust Fund, 2002-2009 </t>
  </si>
  <si>
    <t xml:space="preserve">Figure 13. Aid channelled through United Nations agencies, international and local NGOs, International Committee of the Red Cross (ICRC) and the Red Cross and Red Crescent Societies, 2007-2009 </t>
  </si>
  <si>
    <t xml:space="preserve">UN agencies, funds and commisions </t>
  </si>
  <si>
    <t xml:space="preserve">Figure 14. Aid channelled through military implementing actors, 2002-2009 </t>
  </si>
  <si>
    <t>First-level implementing agency</t>
  </si>
  <si>
    <t>United States (USAID)</t>
  </si>
  <si>
    <t>European Commission (EC)</t>
  </si>
  <si>
    <t xml:space="preserve">Figure 15. Aid to Afghanistan by category, constant 2008 prices </t>
  </si>
  <si>
    <t>Commodity aid</t>
  </si>
  <si>
    <t>Sector allocable aid</t>
  </si>
  <si>
    <t>All other</t>
  </si>
  <si>
    <t>Multisector/ cross-cutting</t>
  </si>
  <si>
    <t>Production services</t>
  </si>
  <si>
    <t>Social infrastructure and services</t>
  </si>
  <si>
    <t xml:space="preserve">Figure 16. Humanitarian aid to Afghanistan, 1995-2010 </t>
  </si>
  <si>
    <t>Figure 17. Humanitarian aid per capita comparison with other conflict affected humanitarian crises, based on constant 2008 prices</t>
  </si>
  <si>
    <t xml:space="preserve">Figure 18. Share of funding within the UN Humanitarian Action Plan (HAP) for Afghanistan received by UN agencies and NGOs </t>
  </si>
  <si>
    <t>% of total no. projects funded</t>
  </si>
  <si>
    <t>Figure 19. Funding to the security sector, 2002-2009, US$ million</t>
  </si>
  <si>
    <t>Figure 21. Partial costs of United States led Operation Enduring Freedom (OEF) and the NATO led International Security Assistance Force (ISAF), 2001-2009</t>
  </si>
  <si>
    <t xml:space="preserve">Figure 20. Selection of non ODA eligible security related aid to Afghanistan, 2002-2009 </t>
  </si>
  <si>
    <t xml:space="preserve">Figure 22. Total troop numbers in NATO ISAF force </t>
  </si>
  <si>
    <t>Figure 23. United Nations  and European Union led multilateral security missions, 2002-2009</t>
  </si>
  <si>
    <t>Foreign direct investment</t>
  </si>
  <si>
    <t xml:space="preserve">Source: The Aid-worker Security Database (AWSD)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</si>
</sst>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%"/>
    <numFmt numFmtId="167" formatCode="[$$-409]#,##0.0"/>
    <numFmt numFmtId="168" formatCode="_-* #,##0_-;\-* #,##0_-;_-* &quot;-&quot;??_-;_-@_-"/>
    <numFmt numFmtId="169" formatCode="[$$-409]#,##0"/>
    <numFmt numFmtId="170" formatCode="[$$-409]#,##0.0_ ;\-[$$-409]#,##0.0\ "/>
    <numFmt numFmtId="171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1"/>
      <color indexed="9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7.5"/>
      <color indexed="63"/>
      <name val="Verdana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.5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9"/>
      <color theme="1"/>
      <name val="Calibri"/>
      <family val="2"/>
    </font>
    <font>
      <sz val="7.5"/>
      <color rgb="FF3F3F3F"/>
      <name val="Verdana"/>
      <family val="2"/>
    </font>
    <font>
      <b/>
      <sz val="11"/>
      <color rgb="FF000000"/>
      <name val="Calibri"/>
      <family val="2"/>
    </font>
    <font>
      <b/>
      <sz val="8"/>
      <color rgb="FF003366"/>
      <name val="Verdana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>
        <color rgb="FF3F3F3F"/>
      </left>
      <right/>
      <top style="medium">
        <color rgb="FF3F3F3F"/>
      </top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rgb="FFC0C0C0"/>
      </bottom>
    </border>
    <border>
      <left/>
      <right style="medium"/>
      <top style="medium"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/>
      <right/>
      <top style="thin">
        <color rgb="FFC0C0C0"/>
      </top>
      <bottom style="thin">
        <color rgb="FFC0C0C0"/>
      </bottom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1" fillId="0" borderId="0">
      <alignment vertical="top"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4" fontId="7" fillId="33" borderId="11" xfId="42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64" fontId="7" fillId="34" borderId="11" xfId="42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164" fontId="7" fillId="35" borderId="11" xfId="42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64" fontId="7" fillId="36" borderId="11" xfId="42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4" fontId="7" fillId="10" borderId="11" xfId="42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164" fontId="7" fillId="37" borderId="11" xfId="42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164" fontId="7" fillId="38" borderId="11" xfId="42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164" fontId="7" fillId="39" borderId="11" xfId="42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164" fontId="7" fillId="40" borderId="11" xfId="42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164" fontId="7" fillId="41" borderId="11" xfId="42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164" fontId="7" fillId="42" borderId="11" xfId="42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164" fontId="7" fillId="18" borderId="11" xfId="42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164" fontId="7" fillId="37" borderId="13" xfId="42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164" fontId="7" fillId="36" borderId="13" xfId="42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164" fontId="7" fillId="38" borderId="13" xfId="42" applyNumberFormat="1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 wrapText="1"/>
    </xf>
    <xf numFmtId="164" fontId="7" fillId="40" borderId="13" xfId="42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164" fontId="7" fillId="34" borderId="13" xfId="42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0" fillId="43" borderId="14" xfId="0" applyFill="1" applyBorder="1" applyAlignment="1">
      <alignment/>
    </xf>
    <xf numFmtId="0" fontId="66" fillId="43" borderId="14" xfId="0" applyFont="1" applyFill="1" applyBorder="1" applyAlignment="1">
      <alignment/>
    </xf>
    <xf numFmtId="0" fontId="66" fillId="0" borderId="0" xfId="0" applyFont="1" applyAlignment="1">
      <alignment/>
    </xf>
    <xf numFmtId="1" fontId="0" fillId="0" borderId="0" xfId="0" applyNumberFormat="1" applyAlignment="1">
      <alignment/>
    </xf>
    <xf numFmtId="1" fontId="66" fillId="0" borderId="0" xfId="0" applyNumberFormat="1" applyFont="1" applyAlignment="1">
      <alignment/>
    </xf>
    <xf numFmtId="0" fontId="65" fillId="44" borderId="14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165" fontId="65" fillId="0" borderId="0" xfId="0" applyNumberFormat="1" applyFont="1" applyAlignment="1">
      <alignment/>
    </xf>
    <xf numFmtId="0" fontId="65" fillId="44" borderId="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43" borderId="16" xfId="0" applyNumberFormat="1" applyFill="1" applyBorder="1" applyAlignment="1">
      <alignment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 horizontal="left" wrapText="1"/>
    </xf>
    <xf numFmtId="0" fontId="13" fillId="45" borderId="17" xfId="0" applyFont="1" applyFill="1" applyBorder="1" applyAlignment="1">
      <alignment horizontal="center" vertical="top" wrapText="1"/>
    </xf>
    <xf numFmtId="0" fontId="14" fillId="45" borderId="17" xfId="0" applyFont="1" applyFill="1" applyBorder="1" applyAlignment="1">
      <alignment horizontal="center" vertical="top" wrapText="1"/>
    </xf>
    <xf numFmtId="0" fontId="15" fillId="46" borderId="17" xfId="0" applyFont="1" applyFill="1" applyBorder="1" applyAlignment="1">
      <alignment wrapText="1"/>
    </xf>
    <xf numFmtId="0" fontId="16" fillId="47" borderId="17" xfId="0" applyFont="1" applyFill="1" applyBorder="1" applyAlignment="1">
      <alignment horizontal="center"/>
    </xf>
    <xf numFmtId="0" fontId="17" fillId="46" borderId="17" xfId="0" applyFont="1" applyFill="1" applyBorder="1" applyAlignment="1">
      <alignment vertical="top" wrapText="1"/>
    </xf>
    <xf numFmtId="0" fontId="10" fillId="0" borderId="17" xfId="0" applyNumberFormat="1" applyFont="1" applyBorder="1" applyAlignment="1">
      <alignment horizontal="right"/>
    </xf>
    <xf numFmtId="0" fontId="10" fillId="32" borderId="17" xfId="0" applyNumberFormat="1" applyFont="1" applyFill="1" applyBorder="1" applyAlignment="1">
      <alignment horizontal="right"/>
    </xf>
    <xf numFmtId="0" fontId="18" fillId="46" borderId="17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0" fillId="9" borderId="16" xfId="0" applyFill="1" applyBorder="1" applyAlignment="1">
      <alignment/>
    </xf>
    <xf numFmtId="0" fontId="20" fillId="9" borderId="16" xfId="0" applyFont="1" applyFill="1" applyBorder="1" applyAlignment="1">
      <alignment vertical="top" wrapText="1"/>
    </xf>
    <xf numFmtId="0" fontId="19" fillId="9" borderId="1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166" fontId="0" fillId="0" borderId="0" xfId="60" applyNumberFormat="1" applyFont="1" applyAlignment="1">
      <alignment vertical="top"/>
    </xf>
    <xf numFmtId="167" fontId="0" fillId="0" borderId="0" xfId="0" applyNumberFormat="1" applyAlignment="1">
      <alignment vertical="top"/>
    </xf>
    <xf numFmtId="0" fontId="59" fillId="0" borderId="0" xfId="52" applyAlignment="1" applyProtection="1">
      <alignment vertical="top"/>
      <protection/>
    </xf>
    <xf numFmtId="0" fontId="50" fillId="48" borderId="0" xfId="57" applyFont="1" applyFill="1" applyBorder="1" applyAlignment="1">
      <alignment vertical="top" wrapText="1"/>
      <protection/>
    </xf>
    <xf numFmtId="0" fontId="50" fillId="48" borderId="0" xfId="57" applyFont="1" applyFill="1" applyBorder="1" applyAlignment="1">
      <alignment horizontal="center" vertical="top" wrapText="1"/>
      <protection/>
    </xf>
    <xf numFmtId="0" fontId="67" fillId="48" borderId="0" xfId="57" applyFont="1" applyFill="1" applyBorder="1" applyAlignment="1">
      <alignment horizontal="center" vertical="top" wrapText="1"/>
      <protection/>
    </xf>
    <xf numFmtId="0" fontId="50" fillId="15" borderId="0" xfId="57" applyFont="1" applyFill="1" applyBorder="1" applyAlignment="1">
      <alignment horizontal="center" vertical="top" wrapText="1"/>
      <protection/>
    </xf>
    <xf numFmtId="0" fontId="27" fillId="0" borderId="0" xfId="57" applyFont="1" applyFill="1" applyBorder="1">
      <alignment/>
      <protection/>
    </xf>
    <xf numFmtId="43" fontId="27" fillId="0" borderId="0" xfId="57" applyNumberFormat="1" applyFont="1" applyFill="1" applyBorder="1">
      <alignment/>
      <protection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3" fillId="48" borderId="0" xfId="57" applyFont="1" applyFill="1" applyBorder="1" applyAlignment="1">
      <alignment vertical="top" wrapText="1"/>
      <protection/>
    </xf>
    <xf numFmtId="168" fontId="27" fillId="0" borderId="0" xfId="57" applyNumberFormat="1" applyFont="1" applyFill="1" applyBorder="1">
      <alignment/>
      <protection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7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49" borderId="0" xfId="0" applyNumberFormat="1" applyFill="1" applyAlignment="1">
      <alignment/>
    </xf>
    <xf numFmtId="166" fontId="0" fillId="0" borderId="0" xfId="60" applyNumberFormat="1" applyFont="1" applyAlignment="1">
      <alignment/>
    </xf>
    <xf numFmtId="9" fontId="0" fillId="0" borderId="0" xfId="60" applyFont="1" applyAlignment="1">
      <alignment/>
    </xf>
    <xf numFmtId="0" fontId="21" fillId="0" borderId="0" xfId="0" applyFont="1" applyAlignment="1">
      <alignment vertical="top" wrapText="1"/>
    </xf>
    <xf numFmtId="0" fontId="0" fillId="13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7" borderId="0" xfId="0" applyFill="1" applyAlignment="1">
      <alignment vertical="top"/>
    </xf>
    <xf numFmtId="17" fontId="0" fillId="50" borderId="0" xfId="0" applyNumberFormat="1" applyFill="1" applyAlignment="1">
      <alignment vertical="top"/>
    </xf>
    <xf numFmtId="17" fontId="0" fillId="2" borderId="0" xfId="0" applyNumberFormat="1" applyFill="1" applyAlignment="1">
      <alignment vertical="top"/>
    </xf>
    <xf numFmtId="17" fontId="0" fillId="7" borderId="0" xfId="0" applyNumberFormat="1" applyFill="1" applyAlignment="1">
      <alignment vertical="top"/>
    </xf>
    <xf numFmtId="17" fontId="0" fillId="10" borderId="0" xfId="0" applyNumberFormat="1" applyFill="1" applyAlignment="1">
      <alignment vertical="top"/>
    </xf>
    <xf numFmtId="0" fontId="21" fillId="50" borderId="0" xfId="0" applyFont="1" applyFill="1" applyAlignment="1">
      <alignment vertical="top"/>
    </xf>
    <xf numFmtId="167" fontId="30" fillId="50" borderId="0" xfId="0" applyNumberFormat="1" applyFont="1" applyFill="1" applyAlignment="1">
      <alignment vertical="top"/>
    </xf>
    <xf numFmtId="167" fontId="0" fillId="2" borderId="0" xfId="0" applyNumberFormat="1" applyFill="1" applyAlignment="1">
      <alignment vertical="top"/>
    </xf>
    <xf numFmtId="167" fontId="30" fillId="2" borderId="0" xfId="0" applyNumberFormat="1" applyFont="1" applyFill="1" applyAlignment="1">
      <alignment vertical="top"/>
    </xf>
    <xf numFmtId="167" fontId="0" fillId="7" borderId="0" xfId="0" applyNumberFormat="1" applyFill="1" applyAlignment="1">
      <alignment vertical="top"/>
    </xf>
    <xf numFmtId="167" fontId="30" fillId="7" borderId="0" xfId="0" applyNumberFormat="1" applyFont="1" applyFill="1" applyAlignment="1">
      <alignment vertical="top"/>
    </xf>
    <xf numFmtId="167" fontId="0" fillId="10" borderId="0" xfId="0" applyNumberFormat="1" applyFill="1" applyAlignment="1">
      <alignment vertical="top"/>
    </xf>
    <xf numFmtId="167" fontId="30" fillId="10" borderId="0" xfId="0" applyNumberFormat="1" applyFont="1" applyFill="1" applyAlignment="1">
      <alignment vertical="top"/>
    </xf>
    <xf numFmtId="0" fontId="0" fillId="50" borderId="0" xfId="0" applyFill="1" applyAlignment="1">
      <alignment vertical="top"/>
    </xf>
    <xf numFmtId="0" fontId="0" fillId="2" borderId="0" xfId="0" applyFill="1" applyAlignment="1">
      <alignment vertical="top"/>
    </xf>
    <xf numFmtId="165" fontId="0" fillId="7" borderId="0" xfId="0" applyNumberFormat="1" applyFill="1" applyAlignment="1">
      <alignment vertical="top"/>
    </xf>
    <xf numFmtId="0" fontId="0" fillId="10" borderId="0" xfId="0" applyFill="1" applyAlignment="1">
      <alignment vertical="top"/>
    </xf>
    <xf numFmtId="165" fontId="0" fillId="50" borderId="0" xfId="0" applyNumberFormat="1" applyFill="1" applyAlignment="1">
      <alignment vertical="top"/>
    </xf>
    <xf numFmtId="165" fontId="0" fillId="2" borderId="0" xfId="0" applyNumberFormat="1" applyFill="1" applyAlignment="1">
      <alignment vertical="top"/>
    </xf>
    <xf numFmtId="0" fontId="21" fillId="10" borderId="0" xfId="0" applyFont="1" applyFill="1" applyAlignment="1">
      <alignment vertical="top"/>
    </xf>
    <xf numFmtId="165" fontId="0" fillId="10" borderId="0" xfId="0" applyNumberFormat="1" applyFill="1" applyAlignment="1">
      <alignment vertical="top"/>
    </xf>
    <xf numFmtId="168" fontId="0" fillId="0" borderId="0" xfId="42" applyNumberFormat="1" applyFont="1" applyAlignment="1">
      <alignment/>
    </xf>
    <xf numFmtId="0" fontId="65" fillId="9" borderId="0" xfId="0" applyFont="1" applyFill="1" applyAlignment="1">
      <alignment horizontal="center" wrapText="1"/>
    </xf>
    <xf numFmtId="0" fontId="21" fillId="9" borderId="0" xfId="0" applyFont="1" applyFill="1" applyAlignment="1">
      <alignment vertical="top"/>
    </xf>
    <xf numFmtId="165" fontId="0" fillId="9" borderId="0" xfId="0" applyNumberFormat="1" applyFill="1" applyAlignment="1">
      <alignment vertical="top"/>
    </xf>
    <xf numFmtId="0" fontId="65" fillId="9" borderId="0" xfId="0" applyFont="1" applyFill="1" applyAlignment="1">
      <alignment/>
    </xf>
    <xf numFmtId="165" fontId="65" fillId="9" borderId="0" xfId="0" applyNumberFormat="1" applyFont="1" applyFill="1" applyAlignment="1">
      <alignment/>
    </xf>
    <xf numFmtId="0" fontId="65" fillId="44" borderId="16" xfId="0" applyFont="1" applyFill="1" applyBorder="1" applyAlignment="1">
      <alignment horizontal="center" wrapText="1"/>
    </xf>
    <xf numFmtId="0" fontId="65" fillId="11" borderId="16" xfId="0" applyFont="1" applyFill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165" fontId="0" fillId="44" borderId="16" xfId="0" applyNumberFormat="1" applyFill="1" applyBorder="1" applyAlignment="1">
      <alignment horizontal="center"/>
    </xf>
    <xf numFmtId="9" fontId="0" fillId="44" borderId="16" xfId="60" applyFont="1" applyFill="1" applyBorder="1" applyAlignment="1">
      <alignment horizontal="center"/>
    </xf>
    <xf numFmtId="1" fontId="0" fillId="44" borderId="16" xfId="0" applyNumberFormat="1" applyFill="1" applyBorder="1" applyAlignment="1">
      <alignment horizontal="center"/>
    </xf>
    <xf numFmtId="165" fontId="0" fillId="44" borderId="16" xfId="60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9" fontId="0" fillId="11" borderId="16" xfId="60" applyFon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65" fontId="0" fillId="11" borderId="16" xfId="6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1" fillId="7" borderId="0" xfId="0" applyFont="1" applyFill="1" applyAlignment="1">
      <alignment horizontal="center" vertical="top"/>
    </xf>
    <xf numFmtId="0" fontId="0" fillId="50" borderId="14" xfId="0" applyFill="1" applyBorder="1" applyAlignment="1">
      <alignment wrapText="1"/>
    </xf>
    <xf numFmtId="0" fontId="0" fillId="50" borderId="14" xfId="0" applyFill="1" applyBorder="1" applyAlignment="1">
      <alignment/>
    </xf>
    <xf numFmtId="0" fontId="0" fillId="49" borderId="0" xfId="0" applyFill="1" applyAlignment="1">
      <alignment wrapText="1"/>
    </xf>
    <xf numFmtId="164" fontId="0" fillId="44" borderId="0" xfId="42" applyNumberFormat="1" applyFont="1" applyFill="1" applyAlignment="1">
      <alignment/>
    </xf>
    <xf numFmtId="0" fontId="65" fillId="44" borderId="0" xfId="0" applyFont="1" applyFill="1" applyAlignment="1">
      <alignment horizontal="center" wrapText="1"/>
    </xf>
    <xf numFmtId="166" fontId="0" fillId="44" borderId="0" xfId="60" applyNumberFormat="1" applyFont="1" applyFill="1" applyAlignment="1">
      <alignment/>
    </xf>
    <xf numFmtId="0" fontId="0" fillId="33" borderId="0" xfId="0" applyFill="1" applyAlignment="1">
      <alignment/>
    </xf>
    <xf numFmtId="0" fontId="65" fillId="10" borderId="0" xfId="0" applyFont="1" applyFill="1" applyAlignment="1">
      <alignment horizontal="center" wrapText="1"/>
    </xf>
    <xf numFmtId="0" fontId="65" fillId="14" borderId="0" xfId="0" applyFont="1" applyFill="1" applyAlignment="1">
      <alignment horizontal="center" wrapText="1"/>
    </xf>
    <xf numFmtId="0" fontId="65" fillId="50" borderId="0" xfId="0" applyFont="1" applyFill="1" applyAlignment="1">
      <alignment horizontal="center" wrapText="1"/>
    </xf>
    <xf numFmtId="0" fontId="0" fillId="50" borderId="0" xfId="0" applyFill="1" applyAlignment="1">
      <alignment/>
    </xf>
    <xf numFmtId="166" fontId="0" fillId="10" borderId="0" xfId="60" applyNumberFormat="1" applyFont="1" applyFill="1" applyAlignment="1">
      <alignment/>
    </xf>
    <xf numFmtId="168" fontId="0" fillId="50" borderId="0" xfId="42" applyNumberFormat="1" applyFont="1" applyFill="1" applyAlignment="1">
      <alignment/>
    </xf>
    <xf numFmtId="168" fontId="0" fillId="50" borderId="0" xfId="42" applyNumberFormat="1" applyFont="1" applyFill="1" applyAlignment="1">
      <alignment horizontal="right"/>
    </xf>
    <xf numFmtId="165" fontId="0" fillId="50" borderId="0" xfId="0" applyNumberFormat="1" applyFill="1" applyAlignment="1">
      <alignment/>
    </xf>
    <xf numFmtId="0" fontId="0" fillId="50" borderId="0" xfId="0" applyFill="1" applyAlignment="1">
      <alignment horizontal="right"/>
    </xf>
    <xf numFmtId="166" fontId="0" fillId="50" borderId="0" xfId="60" applyNumberFormat="1" applyFont="1" applyFill="1" applyAlignment="1">
      <alignment/>
    </xf>
    <xf numFmtId="0" fontId="0" fillId="43" borderId="0" xfId="0" applyFill="1" applyAlignment="1">
      <alignment/>
    </xf>
    <xf numFmtId="0" fontId="0" fillId="43" borderId="20" xfId="0" applyFill="1" applyBorder="1" applyAlignment="1">
      <alignment/>
    </xf>
    <xf numFmtId="0" fontId="6" fillId="43" borderId="21" xfId="0" applyFont="1" applyFill="1" applyBorder="1" applyAlignment="1">
      <alignment/>
    </xf>
    <xf numFmtId="0" fontId="6" fillId="43" borderId="22" xfId="0" applyFont="1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8" xfId="0" applyFill="1" applyBorder="1" applyAlignment="1">
      <alignment/>
    </xf>
    <xf numFmtId="0" fontId="13" fillId="45" borderId="0" xfId="0" applyFont="1" applyFill="1" applyBorder="1" applyAlignment="1">
      <alignment horizontal="center" vertical="top" wrapText="1"/>
    </xf>
    <xf numFmtId="43" fontId="6" fillId="44" borderId="14" xfId="42" applyFont="1" applyFill="1" applyBorder="1" applyAlignment="1">
      <alignment/>
    </xf>
    <xf numFmtId="0" fontId="6" fillId="44" borderId="14" xfId="0" applyFont="1" applyFill="1" applyBorder="1" applyAlignment="1">
      <alignment/>
    </xf>
    <xf numFmtId="43" fontId="25" fillId="9" borderId="0" xfId="42" applyFont="1" applyFill="1" applyAlignment="1">
      <alignment/>
    </xf>
    <xf numFmtId="165" fontId="0" fillId="9" borderId="0" xfId="0" applyNumberFormat="1" applyFill="1" applyAlignment="1">
      <alignment/>
    </xf>
    <xf numFmtId="168" fontId="0" fillId="9" borderId="0" xfId="0" applyNumberFormat="1" applyFill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/>
    </xf>
    <xf numFmtId="43" fontId="25" fillId="0" borderId="0" xfId="42" applyFont="1" applyAlignment="1">
      <alignment/>
    </xf>
    <xf numFmtId="43" fontId="0" fillId="9" borderId="0" xfId="0" applyNumberFormat="1" applyFill="1" applyAlignment="1">
      <alignment/>
    </xf>
    <xf numFmtId="0" fontId="0" fillId="9" borderId="0" xfId="0" applyFont="1" applyFill="1" applyBorder="1" applyAlignment="1">
      <alignment/>
    </xf>
    <xf numFmtId="0" fontId="65" fillId="9" borderId="0" xfId="0" applyFont="1" applyFill="1" applyBorder="1" applyAlignment="1">
      <alignment/>
    </xf>
    <xf numFmtId="1" fontId="0" fillId="9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164" fontId="0" fillId="9" borderId="0" xfId="42" applyNumberFormat="1" applyFont="1" applyFill="1" applyAlignment="1">
      <alignment/>
    </xf>
    <xf numFmtId="166" fontId="0" fillId="9" borderId="0" xfId="60" applyNumberFormat="1" applyFont="1" applyFill="1" applyAlignment="1">
      <alignment/>
    </xf>
    <xf numFmtId="0" fontId="65" fillId="9" borderId="0" xfId="0" applyFont="1" applyFill="1" applyAlignment="1">
      <alignment horizontal="center"/>
    </xf>
    <xf numFmtId="165" fontId="0" fillId="50" borderId="0" xfId="0" applyNumberFormat="1" applyFill="1" applyAlignment="1">
      <alignment horizontal="right"/>
    </xf>
    <xf numFmtId="164" fontId="0" fillId="50" borderId="0" xfId="42" applyNumberFormat="1" applyFont="1" applyFill="1" applyAlignment="1">
      <alignment horizontal="right"/>
    </xf>
    <xf numFmtId="0" fontId="0" fillId="17" borderId="0" xfId="0" applyFill="1" applyAlignment="1">
      <alignment/>
    </xf>
    <xf numFmtId="164" fontId="0" fillId="9" borderId="0" xfId="0" applyNumberFormat="1" applyFill="1" applyAlignment="1">
      <alignment/>
    </xf>
    <xf numFmtId="3" fontId="0" fillId="9" borderId="0" xfId="0" applyNumberFormat="1" applyFill="1" applyAlignment="1">
      <alignment/>
    </xf>
    <xf numFmtId="0" fontId="50" fillId="44" borderId="0" xfId="57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/>
    </xf>
    <xf numFmtId="0" fontId="65" fillId="0" borderId="28" xfId="0" applyFont="1" applyBorder="1" applyAlignment="1">
      <alignment/>
    </xf>
    <xf numFmtId="0" fontId="0" fillId="9" borderId="0" xfId="0" applyFont="1" applyFill="1" applyAlignment="1">
      <alignment/>
    </xf>
    <xf numFmtId="0" fontId="65" fillId="0" borderId="16" xfId="0" applyFont="1" applyBorder="1" applyAlignment="1">
      <alignment/>
    </xf>
    <xf numFmtId="165" fontId="0" fillId="14" borderId="16" xfId="0" applyNumberFormat="1" applyFill="1" applyBorder="1" applyAlignment="1">
      <alignment/>
    </xf>
    <xf numFmtId="0" fontId="65" fillId="14" borderId="16" xfId="0" applyFon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34" borderId="16" xfId="0" applyNumberFormat="1" applyFill="1" applyBorder="1" applyAlignment="1">
      <alignment/>
    </xf>
    <xf numFmtId="2" fontId="0" fillId="51" borderId="16" xfId="0" applyNumberFormat="1" applyFill="1" applyBorder="1" applyAlignment="1">
      <alignment/>
    </xf>
    <xf numFmtId="0" fontId="68" fillId="0" borderId="16" xfId="52" applyFont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52" borderId="16" xfId="0" applyFill="1" applyBorder="1" applyAlignment="1">
      <alignment/>
    </xf>
    <xf numFmtId="0" fontId="0" fillId="52" borderId="0" xfId="0" applyFill="1" applyAlignment="1">
      <alignment/>
    </xf>
    <xf numFmtId="165" fontId="0" fillId="51" borderId="16" xfId="0" applyNumberForma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0" xfId="0" applyFill="1" applyAlignment="1">
      <alignment/>
    </xf>
    <xf numFmtId="2" fontId="0" fillId="52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68" fillId="0" borderId="0" xfId="52" applyFont="1" applyAlignment="1" applyProtection="1">
      <alignment/>
      <protection/>
    </xf>
    <xf numFmtId="168" fontId="0" fillId="9" borderId="0" xfId="42" applyNumberFormat="1" applyFont="1" applyFill="1" applyAlignment="1">
      <alignment/>
    </xf>
    <xf numFmtId="0" fontId="65" fillId="17" borderId="0" xfId="0" applyFont="1" applyFill="1" applyAlignment="1">
      <alignment/>
    </xf>
    <xf numFmtId="166" fontId="65" fillId="9" borderId="0" xfId="60" applyNumberFormat="1" applyFont="1" applyFill="1" applyAlignment="1">
      <alignment/>
    </xf>
    <xf numFmtId="168" fontId="0" fillId="10" borderId="0" xfId="42" applyNumberFormat="1" applyFont="1" applyFill="1" applyAlignment="1">
      <alignment/>
    </xf>
    <xf numFmtId="0" fontId="0" fillId="50" borderId="0" xfId="0" applyFill="1" applyAlignment="1">
      <alignment horizontal="center"/>
    </xf>
    <xf numFmtId="168" fontId="0" fillId="10" borderId="0" xfId="42" applyNumberFormat="1" applyFont="1" applyFill="1" applyAlignment="1">
      <alignment horizontal="right"/>
    </xf>
    <xf numFmtId="168" fontId="0" fillId="44" borderId="0" xfId="42" applyNumberFormat="1" applyFont="1" applyFill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5" fillId="0" borderId="32" xfId="0" applyFont="1" applyBorder="1" applyAlignment="1">
      <alignment wrapText="1"/>
    </xf>
    <xf numFmtId="1" fontId="0" fillId="0" borderId="32" xfId="60" applyNumberFormat="1" applyFont="1" applyBorder="1" applyAlignment="1">
      <alignment/>
    </xf>
    <xf numFmtId="1" fontId="0" fillId="0" borderId="32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25" fillId="0" borderId="14" xfId="0" applyFont="1" applyBorder="1" applyAlignment="1">
      <alignment wrapText="1"/>
    </xf>
    <xf numFmtId="9" fontId="0" fillId="0" borderId="14" xfId="60" applyFont="1" applyBorder="1" applyAlignment="1">
      <alignment/>
    </xf>
    <xf numFmtId="9" fontId="0" fillId="0" borderId="28" xfId="60" applyFont="1" applyBorder="1" applyAlignment="1">
      <alignment/>
    </xf>
    <xf numFmtId="9" fontId="0" fillId="0" borderId="31" xfId="60" applyFont="1" applyBorder="1" applyAlignment="1">
      <alignment/>
    </xf>
    <xf numFmtId="9" fontId="0" fillId="0" borderId="32" xfId="0" applyNumberFormat="1" applyBorder="1" applyAlignment="1">
      <alignment/>
    </xf>
    <xf numFmtId="9" fontId="0" fillId="0" borderId="29" xfId="0" applyNumberFormat="1" applyBorder="1" applyAlignment="1">
      <alignment/>
    </xf>
    <xf numFmtId="9" fontId="0" fillId="0" borderId="3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34" xfId="0" applyNumberFormat="1" applyBorder="1" applyAlignment="1">
      <alignment/>
    </xf>
    <xf numFmtId="0" fontId="0" fillId="0" borderId="29" xfId="0" applyBorder="1" applyAlignment="1">
      <alignment/>
    </xf>
    <xf numFmtId="9" fontId="0" fillId="0" borderId="14" xfId="0" applyNumberFormat="1" applyBorder="1" applyAlignment="1">
      <alignment/>
    </xf>
    <xf numFmtId="9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25" fillId="0" borderId="32" xfId="0" applyFont="1" applyFill="1" applyBorder="1" applyAlignment="1">
      <alignment wrapText="1"/>
    </xf>
    <xf numFmtId="166" fontId="0" fillId="0" borderId="29" xfId="0" applyNumberFormat="1" applyBorder="1" applyAlignment="1">
      <alignment/>
    </xf>
    <xf numFmtId="0" fontId="0" fillId="0" borderId="33" xfId="0" applyBorder="1" applyAlignment="1">
      <alignment/>
    </xf>
    <xf numFmtId="0" fontId="25" fillId="0" borderId="0" xfId="0" applyFont="1" applyFill="1" applyBorder="1" applyAlignment="1">
      <alignment wrapText="1"/>
    </xf>
    <xf numFmtId="166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0" fillId="51" borderId="30" xfId="0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0" fontId="65" fillId="53" borderId="35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65" fillId="53" borderId="36" xfId="0" applyFont="1" applyFill="1" applyBorder="1" applyAlignment="1">
      <alignment horizontal="left"/>
    </xf>
    <xf numFmtId="0" fontId="65" fillId="53" borderId="36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9" fontId="0" fillId="9" borderId="0" xfId="0" applyNumberFormat="1" applyFill="1" applyAlignment="1">
      <alignment/>
    </xf>
    <xf numFmtId="0" fontId="70" fillId="54" borderId="37" xfId="0" applyFont="1" applyFill="1" applyBorder="1" applyAlignment="1">
      <alignment horizontal="center" wrapText="1"/>
    </xf>
    <xf numFmtId="0" fontId="0" fillId="16" borderId="0" xfId="0" applyFill="1" applyAlignment="1">
      <alignment wrapText="1"/>
    </xf>
    <xf numFmtId="17" fontId="0" fillId="52" borderId="19" xfId="0" applyNumberFormat="1" applyFill="1" applyBorder="1" applyAlignment="1">
      <alignment vertical="top"/>
    </xf>
    <xf numFmtId="17" fontId="0" fillId="52" borderId="34" xfId="0" applyNumberForma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27" xfId="0" applyFont="1" applyBorder="1" applyAlignment="1">
      <alignment horizontal="left" vertical="top" wrapText="1"/>
    </xf>
    <xf numFmtId="0" fontId="65" fillId="9" borderId="16" xfId="0" applyFont="1" applyFill="1" applyBorder="1" applyAlignment="1">
      <alignment/>
    </xf>
    <xf numFmtId="0" fontId="69" fillId="9" borderId="16" xfId="0" applyFont="1" applyFill="1" applyBorder="1" applyAlignment="1">
      <alignment/>
    </xf>
    <xf numFmtId="165" fontId="0" fillId="9" borderId="16" xfId="0" applyNumberFormat="1" applyFill="1" applyBorder="1" applyAlignment="1">
      <alignment/>
    </xf>
    <xf numFmtId="2" fontId="0" fillId="9" borderId="16" xfId="0" applyNumberFormat="1" applyFill="1" applyBorder="1" applyAlignment="1">
      <alignment/>
    </xf>
    <xf numFmtId="0" fontId="0" fillId="9" borderId="0" xfId="0" applyFill="1" applyAlignment="1">
      <alignment wrapText="1"/>
    </xf>
    <xf numFmtId="165" fontId="0" fillId="9" borderId="0" xfId="0" applyNumberFormat="1" applyFill="1" applyAlignment="1">
      <alignment wrapText="1"/>
    </xf>
    <xf numFmtId="164" fontId="65" fillId="9" borderId="0" xfId="42" applyNumberFormat="1" applyFont="1" applyFill="1" applyAlignment="1">
      <alignment/>
    </xf>
    <xf numFmtId="0" fontId="71" fillId="0" borderId="16" xfId="0" applyFont="1" applyBorder="1" applyAlignment="1">
      <alignment horizontal="center"/>
    </xf>
    <xf numFmtId="0" fontId="72" fillId="55" borderId="16" xfId="0" applyFont="1" applyFill="1" applyBorder="1" applyAlignment="1">
      <alignment horizontal="center" vertical="top" wrapText="1"/>
    </xf>
    <xf numFmtId="0" fontId="20" fillId="56" borderId="16" xfId="0" applyFont="1" applyFill="1" applyBorder="1" applyAlignment="1">
      <alignment wrapText="1"/>
    </xf>
    <xf numFmtId="165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73" fillId="0" borderId="0" xfId="0" applyFont="1" applyAlignment="1">
      <alignment/>
    </xf>
    <xf numFmtId="0" fontId="65" fillId="44" borderId="39" xfId="0" applyFont="1" applyFill="1" applyBorder="1" applyAlignment="1">
      <alignment horizontal="center"/>
    </xf>
    <xf numFmtId="0" fontId="65" fillId="44" borderId="40" xfId="0" applyFont="1" applyFill="1" applyBorder="1" applyAlignment="1">
      <alignment horizontal="center"/>
    </xf>
    <xf numFmtId="167" fontId="0" fillId="9" borderId="0" xfId="0" applyNumberFormat="1" applyFont="1" applyFill="1" applyAlignment="1">
      <alignment/>
    </xf>
    <xf numFmtId="167" fontId="0" fillId="9" borderId="0" xfId="0" applyNumberFormat="1" applyFill="1" applyAlignment="1">
      <alignment/>
    </xf>
    <xf numFmtId="167" fontId="0" fillId="0" borderId="0" xfId="0" applyNumberFormat="1" applyAlignment="1">
      <alignment/>
    </xf>
    <xf numFmtId="170" fontId="0" fillId="9" borderId="0" xfId="0" applyNumberFormat="1" applyFill="1" applyAlignment="1">
      <alignment/>
    </xf>
    <xf numFmtId="0" fontId="0" fillId="44" borderId="29" xfId="0" applyFill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34" xfId="42" applyNumberFormat="1" applyFont="1" applyBorder="1" applyAlignment="1">
      <alignment/>
    </xf>
    <xf numFmtId="164" fontId="71" fillId="0" borderId="28" xfId="42" applyNumberFormat="1" applyFont="1" applyBorder="1" applyAlignment="1">
      <alignment/>
    </xf>
    <xf numFmtId="164" fontId="71" fillId="0" borderId="14" xfId="42" applyNumberFormat="1" applyFont="1" applyBorder="1" applyAlignment="1">
      <alignment/>
    </xf>
    <xf numFmtId="164" fontId="71" fillId="0" borderId="31" xfId="42" applyNumberFormat="1" applyFont="1" applyBorder="1" applyAlignment="1">
      <alignment/>
    </xf>
    <xf numFmtId="0" fontId="0" fillId="15" borderId="0" xfId="0" applyFill="1" applyAlignment="1">
      <alignment/>
    </xf>
    <xf numFmtId="164" fontId="0" fillId="15" borderId="0" xfId="42" applyNumberFormat="1" applyFont="1" applyFill="1" applyAlignment="1">
      <alignment/>
    </xf>
    <xf numFmtId="17" fontId="0" fillId="15" borderId="0" xfId="0" applyNumberFormat="1" applyFill="1" applyAlignment="1">
      <alignment/>
    </xf>
    <xf numFmtId="3" fontId="0" fillId="15" borderId="0" xfId="0" applyNumberFormat="1" applyFill="1" applyAlignment="1">
      <alignment/>
    </xf>
    <xf numFmtId="164" fontId="0" fillId="10" borderId="0" xfId="42" applyNumberFormat="1" applyFont="1" applyFill="1" applyAlignment="1">
      <alignment/>
    </xf>
    <xf numFmtId="0" fontId="0" fillId="44" borderId="19" xfId="0" applyFill="1" applyBorder="1" applyAlignment="1">
      <alignment/>
    </xf>
    <xf numFmtId="0" fontId="0" fillId="44" borderId="19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34" xfId="0" applyFill="1" applyBorder="1" applyAlignment="1">
      <alignment horizontal="center" wrapText="1"/>
    </xf>
    <xf numFmtId="168" fontId="0" fillId="0" borderId="34" xfId="42" applyNumberFormat="1" applyFont="1" applyBorder="1" applyAlignment="1">
      <alignment/>
    </xf>
    <xf numFmtId="168" fontId="65" fillId="0" borderId="31" xfId="42" applyNumberFormat="1" applyFont="1" applyBorder="1" applyAlignment="1">
      <alignment/>
    </xf>
    <xf numFmtId="0" fontId="0" fillId="57" borderId="28" xfId="0" applyFont="1" applyFill="1" applyBorder="1" applyAlignment="1">
      <alignment/>
    </xf>
    <xf numFmtId="0" fontId="0" fillId="57" borderId="28" xfId="0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7" borderId="31" xfId="0" applyFont="1" applyFill="1" applyBorder="1" applyAlignment="1">
      <alignment horizontal="center" wrapText="1"/>
    </xf>
    <xf numFmtId="0" fontId="0" fillId="0" borderId="27" xfId="0" applyFont="1" applyBorder="1" applyAlignment="1">
      <alignment/>
    </xf>
    <xf numFmtId="164" fontId="0" fillId="0" borderId="29" xfId="42" applyNumberFormat="1" applyFont="1" applyBorder="1" applyAlignment="1">
      <alignment/>
    </xf>
    <xf numFmtId="164" fontId="0" fillId="0" borderId="32" xfId="42" applyNumberFormat="1" applyFont="1" applyBorder="1" applyAlignment="1">
      <alignment/>
    </xf>
    <xf numFmtId="164" fontId="0" fillId="0" borderId="33" xfId="42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43" fontId="0" fillId="9" borderId="0" xfId="42" applyFont="1" applyFill="1" applyAlignment="1">
      <alignment/>
    </xf>
    <xf numFmtId="164" fontId="27" fillId="9" borderId="0" xfId="57" applyNumberFormat="1" applyFont="1" applyFill="1" applyBorder="1">
      <alignment/>
      <protection/>
    </xf>
    <xf numFmtId="0" fontId="6" fillId="58" borderId="41" xfId="0" applyFont="1" applyFill="1" applyBorder="1" applyAlignment="1">
      <alignment horizontal="center"/>
    </xf>
    <xf numFmtId="0" fontId="6" fillId="58" borderId="42" xfId="0" applyFont="1" applyFill="1" applyBorder="1" applyAlignment="1">
      <alignment horizontal="center"/>
    </xf>
    <xf numFmtId="0" fontId="8" fillId="59" borderId="43" xfId="0" applyFont="1" applyFill="1" applyBorder="1" applyAlignment="1">
      <alignment horizontal="right" vertical="top" wrapText="1"/>
    </xf>
    <xf numFmtId="0" fontId="8" fillId="59" borderId="44" xfId="0" applyFont="1" applyFill="1" applyBorder="1" applyAlignment="1">
      <alignment horizontal="right" vertical="top" wrapText="1"/>
    </xf>
    <xf numFmtId="0" fontId="9" fillId="59" borderId="45" xfId="0" applyFont="1" applyFill="1" applyBorder="1" applyAlignment="1">
      <alignment vertical="top" wrapText="1"/>
    </xf>
    <xf numFmtId="0" fontId="0" fillId="0" borderId="0" xfId="0" applyAlignment="1">
      <alignment/>
    </xf>
    <xf numFmtId="0" fontId="9" fillId="59" borderId="43" xfId="0" applyFont="1" applyFill="1" applyBorder="1" applyAlignment="1">
      <alignment vertical="top" wrapText="1"/>
    </xf>
    <xf numFmtId="0" fontId="9" fillId="59" borderId="46" xfId="0" applyFont="1" applyFill="1" applyBorder="1" applyAlignment="1">
      <alignment vertical="top" wrapText="1"/>
    </xf>
    <xf numFmtId="0" fontId="9" fillId="59" borderId="44" xfId="0" applyFont="1" applyFill="1" applyBorder="1" applyAlignment="1">
      <alignment vertical="top" wrapText="1"/>
    </xf>
    <xf numFmtId="0" fontId="12" fillId="45" borderId="43" xfId="0" applyFont="1" applyFill="1" applyBorder="1" applyAlignment="1">
      <alignment horizontal="right" vertical="center" wrapText="1"/>
    </xf>
    <xf numFmtId="0" fontId="12" fillId="45" borderId="44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169" fontId="30" fillId="52" borderId="28" xfId="0" applyNumberFormat="1" applyFont="1" applyFill="1" applyBorder="1" applyAlignment="1">
      <alignment horizontal="center" vertical="top"/>
    </xf>
    <xf numFmtId="169" fontId="30" fillId="52" borderId="31" xfId="0" applyNumberFormat="1" applyFont="1" applyFill="1" applyBorder="1" applyAlignment="1">
      <alignment horizontal="center" vertical="top"/>
    </xf>
    <xf numFmtId="0" fontId="30" fillId="52" borderId="29" xfId="0" applyFont="1" applyFill="1" applyBorder="1" applyAlignment="1">
      <alignment horizontal="center" vertical="top" wrapText="1"/>
    </xf>
    <xf numFmtId="0" fontId="30" fillId="52" borderId="33" xfId="0" applyFont="1" applyFill="1" applyBorder="1" applyAlignment="1">
      <alignment horizontal="center" vertical="top" wrapText="1"/>
    </xf>
    <xf numFmtId="0" fontId="21" fillId="52" borderId="19" xfId="0" applyFont="1" applyFill="1" applyBorder="1" applyAlignment="1">
      <alignment horizontal="center" vertical="top"/>
    </xf>
    <xf numFmtId="0" fontId="0" fillId="52" borderId="34" xfId="0" applyFill="1" applyBorder="1" applyAlignment="1">
      <alignment horizontal="center" vertical="top"/>
    </xf>
    <xf numFmtId="0" fontId="21" fillId="52" borderId="34" xfId="0" applyFont="1" applyFill="1" applyBorder="1" applyAlignment="1">
      <alignment horizontal="center" vertical="top"/>
    </xf>
    <xf numFmtId="0" fontId="0" fillId="44" borderId="29" xfId="0" applyFill="1" applyBorder="1" applyAlignment="1">
      <alignment horizontal="center"/>
    </xf>
    <xf numFmtId="0" fontId="0" fillId="44" borderId="32" xfId="0" applyFill="1" applyBorder="1" applyAlignment="1">
      <alignment horizontal="center"/>
    </xf>
    <xf numFmtId="0" fontId="0" fillId="44" borderId="33" xfId="0" applyFill="1" applyBorder="1" applyAlignment="1">
      <alignment horizontal="center"/>
    </xf>
    <xf numFmtId="0" fontId="9" fillId="9" borderId="43" xfId="0" applyFont="1" applyFill="1" applyBorder="1" applyAlignment="1">
      <alignment vertical="top" wrapText="1"/>
    </xf>
    <xf numFmtId="0" fontId="9" fillId="9" borderId="46" xfId="0" applyFont="1" applyFill="1" applyBorder="1" applyAlignment="1">
      <alignment vertical="top" wrapText="1"/>
    </xf>
    <xf numFmtId="0" fontId="9" fillId="9" borderId="44" xfId="0" applyFont="1" applyFill="1" applyBorder="1" applyAlignment="1">
      <alignment vertical="top" wrapText="1"/>
    </xf>
    <xf numFmtId="0" fontId="65" fillId="44" borderId="48" xfId="0" applyFont="1" applyFill="1" applyBorder="1" applyAlignment="1">
      <alignment horizontal="center"/>
    </xf>
    <xf numFmtId="0" fontId="65" fillId="44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5" fillId="11" borderId="48" xfId="0" applyFont="1" applyFill="1" applyBorder="1" applyAlignment="1">
      <alignment horizontal="center"/>
    </xf>
    <xf numFmtId="0" fontId="65" fillId="11" borderId="49" xfId="0" applyFont="1" applyFill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0" fillId="10" borderId="0" xfId="0" applyFill="1" applyAlignment="1">
      <alignment vertical="center" wrapText="1"/>
    </xf>
    <xf numFmtId="0" fontId="0" fillId="60" borderId="27" xfId="0" applyFill="1" applyBorder="1" applyAlignment="1">
      <alignment horizontal="center" vertical="center" wrapText="1"/>
    </xf>
    <xf numFmtId="0" fontId="0" fillId="60" borderId="30" xfId="0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61" borderId="27" xfId="0" applyFill="1" applyBorder="1" applyAlignment="1">
      <alignment horizontal="center" vertical="center" wrapText="1"/>
    </xf>
    <xf numFmtId="0" fontId="0" fillId="61" borderId="30" xfId="0" applyFill="1" applyBorder="1" applyAlignment="1">
      <alignment horizontal="center" vertical="center" wrapText="1"/>
    </xf>
    <xf numFmtId="0" fontId="0" fillId="51" borderId="27" xfId="0" applyFill="1" applyBorder="1" applyAlignment="1">
      <alignment horizontal="center" vertical="center" wrapText="1"/>
    </xf>
    <xf numFmtId="0" fontId="0" fillId="51" borderId="30" xfId="0" applyFill="1" applyBorder="1" applyAlignment="1">
      <alignment horizontal="center" vertical="center" wrapText="1"/>
    </xf>
    <xf numFmtId="0" fontId="0" fillId="51" borderId="38" xfId="0" applyFill="1" applyBorder="1" applyAlignment="1">
      <alignment horizontal="center" vertical="center" wrapText="1"/>
    </xf>
    <xf numFmtId="0" fontId="21" fillId="5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7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30" fillId="50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0" fillId="7" borderId="0" xfId="0" applyFont="1" applyFill="1" applyAlignment="1">
      <alignment horizontal="center" vertical="top" wrapText="1"/>
    </xf>
    <xf numFmtId="0" fontId="30" fillId="10" borderId="0" xfId="0" applyFont="1" applyFill="1" applyAlignment="1">
      <alignment horizontal="center" vertical="top" wrapText="1"/>
    </xf>
    <xf numFmtId="0" fontId="0" fillId="62" borderId="0" xfId="0" applyFill="1" applyAlignment="1">
      <alignment horizontal="center" vertical="top"/>
    </xf>
    <xf numFmtId="0" fontId="0" fillId="63" borderId="0" xfId="0" applyFill="1" applyAlignment="1">
      <alignment horizontal="center" vertical="top"/>
    </xf>
    <xf numFmtId="0" fontId="0" fillId="63" borderId="0" xfId="0" applyFill="1" applyAlignment="1">
      <alignment vertical="top"/>
    </xf>
    <xf numFmtId="0" fontId="21" fillId="64" borderId="0" xfId="0" applyFont="1" applyFill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21" fillId="65" borderId="0" xfId="0" applyFont="1" applyFill="1" applyAlignment="1">
      <alignment horizontal="center" vertical="center"/>
    </xf>
    <xf numFmtId="0" fontId="0" fillId="65" borderId="0" xfId="0" applyFill="1" applyAlignment="1">
      <alignment horizontal="center" vertical="center"/>
    </xf>
    <xf numFmtId="0" fontId="21" fillId="58" borderId="0" xfId="0" applyFont="1" applyFill="1" applyAlignment="1">
      <alignment horizontal="center" vertical="top"/>
    </xf>
    <xf numFmtId="0" fontId="0" fillId="58" borderId="0" xfId="0" applyFill="1" applyAlignment="1">
      <alignment horizontal="center" vertical="top"/>
    </xf>
    <xf numFmtId="0" fontId="21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21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21" fillId="18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21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externalLink" Target="externalLinks/externalLink15.xml" /><Relationship Id="rId46" Type="http://schemas.openxmlformats.org/officeDocument/2006/relationships/externalLink" Target="externalLinks/externalLink16.xml" /><Relationship Id="rId4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85"/>
          <c:w val="0.65475"/>
          <c:h val="0.82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'1.International-investment'!$A$2:$A$5</c:f>
              <c:strCache/>
            </c:strRef>
          </c:cat>
          <c:val>
            <c:numRef>
              <c:f>'1.International-investment'!$B$2:$B$5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09375"/>
          <c:w val="0.55775"/>
          <c:h val="0.80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'[8]Summary'!$L$29:$L$34</c:f>
              <c:strCache>
                <c:ptCount val="6"/>
                <c:pt idx="0">
                  <c:v>Sector allocable aid</c:v>
                </c:pt>
                <c:pt idx="1">
                  <c:v>Debt relief</c:v>
                </c:pt>
                <c:pt idx="2">
                  <c:v>Humanitarian aid</c:v>
                </c:pt>
                <c:pt idx="3">
                  <c:v>Commodity aid</c:v>
                </c:pt>
                <c:pt idx="4">
                  <c:v>General budget support</c:v>
                </c:pt>
                <c:pt idx="5">
                  <c:v>All other</c:v>
                </c:pt>
              </c:strCache>
            </c:strRef>
          </c:cat>
          <c:val>
            <c:numRef>
              <c:f>'[8]Summary'!$M$29:$M$34</c:f>
              <c:numCache>
                <c:ptCount val="6"/>
                <c:pt idx="0">
                  <c:v>5293.35812543</c:v>
                </c:pt>
                <c:pt idx="1">
                  <c:v>75.6663364</c:v>
                </c:pt>
                <c:pt idx="2">
                  <c:v>1881.00787328</c:v>
                </c:pt>
                <c:pt idx="3">
                  <c:v>210.49175931</c:v>
                </c:pt>
                <c:pt idx="4">
                  <c:v>193.22302372000001</c:v>
                </c:pt>
                <c:pt idx="5">
                  <c:v>458.93524525000004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09375"/>
          <c:w val="0.55775"/>
          <c:h val="0.80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'[8]Summary'!$O$29:$O$34</c:f>
              <c:strCache>
                <c:ptCount val="6"/>
                <c:pt idx="0">
                  <c:v>Sector allocable aid</c:v>
                </c:pt>
                <c:pt idx="1">
                  <c:v>Debt relief</c:v>
                </c:pt>
                <c:pt idx="2">
                  <c:v>Humanitarian aid</c:v>
                </c:pt>
                <c:pt idx="3">
                  <c:v>Commodity aid</c:v>
                </c:pt>
                <c:pt idx="4">
                  <c:v>General budget support</c:v>
                </c:pt>
                <c:pt idx="5">
                  <c:v>All other</c:v>
                </c:pt>
              </c:strCache>
            </c:strRef>
          </c:cat>
          <c:val>
            <c:numRef>
              <c:f>'[8]Summary'!$P$29:$P$34</c:f>
              <c:numCache>
                <c:ptCount val="6"/>
                <c:pt idx="0">
                  <c:v>14073.990147569999</c:v>
                </c:pt>
                <c:pt idx="1">
                  <c:v>78.58221076000001</c:v>
                </c:pt>
                <c:pt idx="2">
                  <c:v>2191.7539614899997</c:v>
                </c:pt>
                <c:pt idx="3">
                  <c:v>297.50509817</c:v>
                </c:pt>
                <c:pt idx="4">
                  <c:v>350.54575296</c:v>
                </c:pt>
                <c:pt idx="5">
                  <c:v>153.20731611000002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905"/>
          <c:w val="0.565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'[8]Summary'!$L$46:$L$49</c:f>
              <c:strCache>
                <c:ptCount val="4"/>
                <c:pt idx="0">
                  <c:v>Economic infrastructure and services</c:v>
                </c:pt>
                <c:pt idx="1">
                  <c:v>Multisector/ cross-cutting</c:v>
                </c:pt>
                <c:pt idx="2">
                  <c:v>Production services</c:v>
                </c:pt>
                <c:pt idx="3">
                  <c:v>Social infrastructure and services</c:v>
                </c:pt>
              </c:strCache>
            </c:strRef>
          </c:cat>
          <c:val>
            <c:numRef>
              <c:f>'[8]Summary'!$M$46:$M$49</c:f>
              <c:numCache>
                <c:ptCount val="4"/>
                <c:pt idx="0">
                  <c:v>1411.50336215</c:v>
                </c:pt>
                <c:pt idx="1">
                  <c:v>429.6196394</c:v>
                </c:pt>
                <c:pt idx="2">
                  <c:v>347.07698595</c:v>
                </c:pt>
                <c:pt idx="3">
                  <c:v>3105.1581379299996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905"/>
          <c:w val="0.5655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'[8]Summary'!$O$46:$O$49</c:f>
              <c:strCache>
                <c:ptCount val="4"/>
                <c:pt idx="0">
                  <c:v>Economic infrastructure and services</c:v>
                </c:pt>
                <c:pt idx="1">
                  <c:v>Multisector/ cross-cutting</c:v>
                </c:pt>
                <c:pt idx="2">
                  <c:v>Production services</c:v>
                </c:pt>
                <c:pt idx="3">
                  <c:v>Social infrastructure and services</c:v>
                </c:pt>
              </c:strCache>
            </c:strRef>
          </c:cat>
          <c:val>
            <c:numRef>
              <c:f>'[8]Summary'!$P$46:$P$49</c:f>
              <c:numCache>
                <c:ptCount val="4"/>
                <c:pt idx="0">
                  <c:v>3645.69296733</c:v>
                </c:pt>
                <c:pt idx="1">
                  <c:v>962.5659647</c:v>
                </c:pt>
                <c:pt idx="2">
                  <c:v>1086.3797179399999</c:v>
                </c:pt>
                <c:pt idx="3">
                  <c:v>12025.044464929999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09025"/>
          <c:w val="0.567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'[8]Summary'!$L$65:$L$70</c:f>
              <c:strCache>
                <c:ptCount val="6"/>
                <c:pt idx="0">
                  <c:v>Education</c:v>
                </c:pt>
                <c:pt idx="1">
                  <c:v>Health</c:v>
                </c:pt>
                <c:pt idx="2">
                  <c:v>Population programmes and reproductive health</c:v>
                </c:pt>
                <c:pt idx="3">
                  <c:v>Water and sanitation</c:v>
                </c:pt>
                <c:pt idx="4">
                  <c:v>Government and civil society</c:v>
                </c:pt>
                <c:pt idx="5">
                  <c:v>Other social infrastructure and services</c:v>
                </c:pt>
              </c:strCache>
            </c:strRef>
          </c:cat>
          <c:val>
            <c:numRef>
              <c:f>'[8]Summary'!$M$65:$M$70</c:f>
              <c:numCache>
                <c:ptCount val="6"/>
                <c:pt idx="0">
                  <c:v>371.39004011</c:v>
                </c:pt>
                <c:pt idx="1">
                  <c:v>287.91031347</c:v>
                </c:pt>
                <c:pt idx="2">
                  <c:v>62.611654019999996</c:v>
                </c:pt>
                <c:pt idx="3">
                  <c:v>129.0373939</c:v>
                </c:pt>
                <c:pt idx="4">
                  <c:v>1697.7393144399998</c:v>
                </c:pt>
                <c:pt idx="5">
                  <c:v>556.46942199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09025"/>
          <c:w val="0.567"/>
          <c:h val="0.8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'[8]Summary'!$O$65:$O$70</c:f>
              <c:strCache>
                <c:ptCount val="6"/>
                <c:pt idx="0">
                  <c:v>Education</c:v>
                </c:pt>
                <c:pt idx="1">
                  <c:v>Health</c:v>
                </c:pt>
                <c:pt idx="2">
                  <c:v>Population programmes and reproductive health</c:v>
                </c:pt>
                <c:pt idx="3">
                  <c:v>Water and sanitation</c:v>
                </c:pt>
                <c:pt idx="4">
                  <c:v>Government and civil society</c:v>
                </c:pt>
                <c:pt idx="5">
                  <c:v>Other social infrastructure and services</c:v>
                </c:pt>
              </c:strCache>
            </c:strRef>
          </c:cat>
          <c:val>
            <c:numRef>
              <c:f>'[8]Summary'!$P$65:$P$70</c:f>
              <c:numCache>
                <c:ptCount val="6"/>
                <c:pt idx="0">
                  <c:v>763.0585911999999</c:v>
                </c:pt>
                <c:pt idx="1">
                  <c:v>814.5806199199999</c:v>
                </c:pt>
                <c:pt idx="2">
                  <c:v>245.21140334</c:v>
                </c:pt>
                <c:pt idx="3">
                  <c:v>238.26272421</c:v>
                </c:pt>
                <c:pt idx="4">
                  <c:v>5198.03767821</c:v>
                </c:pt>
                <c:pt idx="5">
                  <c:v>1120.20048072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5"/>
          <c:w val="0.922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'[9]Total-HA'!$B$4</c:f>
              <c:strCache>
                <c:ptCount val="1"/>
                <c:pt idx="0">
                  <c:v>Total humanitarian aid (reported to the DAC)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'[9]Total-HA'!$C$3:$R$3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'[9]Total-HA'!$C$4:$R$4</c:f>
              <c:numCache>
                <c:ptCount val="16"/>
                <c:pt idx="0">
                  <c:v>191.41145459813686</c:v>
                </c:pt>
                <c:pt idx="1">
                  <c:v>151.3891453587867</c:v>
                </c:pt>
                <c:pt idx="2">
                  <c:v>264.82652022296566</c:v>
                </c:pt>
                <c:pt idx="3">
                  <c:v>175.64415683849526</c:v>
                </c:pt>
                <c:pt idx="4">
                  <c:v>112.5948157880724</c:v>
                </c:pt>
                <c:pt idx="5">
                  <c:v>173.9855070586732</c:v>
                </c:pt>
                <c:pt idx="6">
                  <c:v>594.1764169528384</c:v>
                </c:pt>
                <c:pt idx="7">
                  <c:v>889.9512037842727</c:v>
                </c:pt>
                <c:pt idx="8">
                  <c:v>508.16523528647815</c:v>
                </c:pt>
                <c:pt idx="9">
                  <c:v>446.13562954709687</c:v>
                </c:pt>
                <c:pt idx="10">
                  <c:v>329.52</c:v>
                </c:pt>
                <c:pt idx="11">
                  <c:v>359.166459513902</c:v>
                </c:pt>
                <c:pt idx="12">
                  <c:v>327.9272857269997</c:v>
                </c:pt>
                <c:pt idx="13">
                  <c:v>870.709543580255</c:v>
                </c:pt>
                <c:pt idx="14">
                  <c:v>592.4361547659373</c:v>
                </c:pt>
                <c:pt idx="15">
                  <c:v>671.305758</c:v>
                </c:pt>
              </c:numCache>
            </c:numRef>
          </c:val>
        </c:ser>
        <c:axId val="45583060"/>
        <c:axId val="55708869"/>
      </c:barChart>
      <c:catAx>
        <c:axId val="455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8869"/>
        <c:crosses val="autoZero"/>
        <c:auto val="1"/>
        <c:lblOffset val="100"/>
        <c:tickLblSkip val="1"/>
        <c:noMultiLvlLbl val="0"/>
      </c:catAx>
      <c:valAx>
        <c:axId val="5570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-0.0095"/>
          <c:w val="0.862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'[9]HA-per-capita'!$A$4</c:f>
              <c:strCache>
                <c:ptCount val="1"/>
                <c:pt idx="0">
                  <c:v>Afghanistan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'[9]HA-per-capita'!$B$4:$Q$4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'[9]HA-per-capita'!$B$6:$P$6</c:f>
              <c:numCache>
                <c:ptCount val="15"/>
                <c:pt idx="0">
                  <c:v>10.484851807522833</c:v>
                </c:pt>
                <c:pt idx="1">
                  <c:v>8.073140503982822</c:v>
                </c:pt>
                <c:pt idx="2">
                  <c:v>13.758365382211803</c:v>
                </c:pt>
                <c:pt idx="3">
                  <c:v>8.895807301160584</c:v>
                </c:pt>
                <c:pt idx="4">
                  <c:v>5.562765097628176</c:v>
                </c:pt>
                <c:pt idx="5">
                  <c:v>8.390100161965242</c:v>
                </c:pt>
                <c:pt idx="6">
                  <c:v>27.50434740326984</c:v>
                </c:pt>
                <c:pt idx="7">
                  <c:v>39.6079577989351</c:v>
                </c:pt>
                <c:pt idx="8">
                  <c:v>21.776954586949994</c:v>
                </c:pt>
                <c:pt idx="9">
                  <c:v>18.43459483273819</c:v>
                </c:pt>
                <c:pt idx="10">
                  <c:v>13.145569872741053</c:v>
                </c:pt>
                <c:pt idx="11">
                  <c:v>13.744631344432443</c:v>
                </c:pt>
                <c:pt idx="12">
                  <c:v>12.05801210948013</c:v>
                </c:pt>
                <c:pt idx="13">
                  <c:v>30.810452282016932</c:v>
                </c:pt>
                <c:pt idx="14">
                  <c:v>20.20270198965842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'[9]HA-per-capita'!$A$8</c:f>
              <c:strCache>
                <c:ptCount val="1"/>
                <c:pt idx="0">
                  <c:v>Iraq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'[9]HA-per-capita'!$B$10:$P$10</c:f>
              <c:numCache>
                <c:ptCount val="15"/>
                <c:pt idx="0">
                  <c:v>16.635147201657006</c:v>
                </c:pt>
                <c:pt idx="1">
                  <c:v>18.437479243147287</c:v>
                </c:pt>
                <c:pt idx="2">
                  <c:v>13.097815587660811</c:v>
                </c:pt>
                <c:pt idx="3">
                  <c:v>5.961672371171078</c:v>
                </c:pt>
                <c:pt idx="4">
                  <c:v>5.715742709164647</c:v>
                </c:pt>
                <c:pt idx="5">
                  <c:v>5.982328055066206</c:v>
                </c:pt>
                <c:pt idx="6">
                  <c:v>7.278458790178994</c:v>
                </c:pt>
                <c:pt idx="7">
                  <c:v>5.9993144962889255</c:v>
                </c:pt>
                <c:pt idx="8">
                  <c:v>44.31375086814337</c:v>
                </c:pt>
                <c:pt idx="9">
                  <c:v>37.63266734973393</c:v>
                </c:pt>
                <c:pt idx="10">
                  <c:v>23.17116730961566</c:v>
                </c:pt>
                <c:pt idx="11">
                  <c:v>15.470669061062074</c:v>
                </c:pt>
                <c:pt idx="12">
                  <c:v>13.219503399950117</c:v>
                </c:pt>
                <c:pt idx="13">
                  <c:v>13.331398888423337</c:v>
                </c:pt>
                <c:pt idx="14">
                  <c:v>16.49302342105789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'[9]HA-per-capita'!$A$13</c:f>
              <c:strCache>
                <c:ptCount val="1"/>
                <c:pt idx="0">
                  <c:v>Somalia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'[9]HA-per-capita'!$B$15:$P$15</c:f>
              <c:numCache>
                <c:ptCount val="15"/>
                <c:pt idx="0">
                  <c:v>22.059100573974526</c:v>
                </c:pt>
                <c:pt idx="1">
                  <c:v>7.691595417153198</c:v>
                </c:pt>
                <c:pt idx="2">
                  <c:v>7.832997577954166</c:v>
                </c:pt>
                <c:pt idx="3">
                  <c:v>6.734936463673616</c:v>
                </c:pt>
                <c:pt idx="4">
                  <c:v>10.232695945563309</c:v>
                </c:pt>
                <c:pt idx="5">
                  <c:v>12.204379804233032</c:v>
                </c:pt>
                <c:pt idx="6">
                  <c:v>14.16501750694217</c:v>
                </c:pt>
                <c:pt idx="7">
                  <c:v>18.21766044288258</c:v>
                </c:pt>
                <c:pt idx="8">
                  <c:v>18.588162929528178</c:v>
                </c:pt>
                <c:pt idx="9">
                  <c:v>20.459188317516645</c:v>
                </c:pt>
                <c:pt idx="10">
                  <c:v>24.354055360339544</c:v>
                </c:pt>
                <c:pt idx="11">
                  <c:v>39.11520357707133</c:v>
                </c:pt>
                <c:pt idx="12">
                  <c:v>32.09708035335361</c:v>
                </c:pt>
                <c:pt idx="13">
                  <c:v>63.15556788795397</c:v>
                </c:pt>
                <c:pt idx="14">
                  <c:v>58.694509372351305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'[9]HA-per-capita'!$A$21</c:f>
              <c:strCache>
                <c:ptCount val="1"/>
                <c:pt idx="0">
                  <c:v>Palestine/OPT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'[9]HA-per-capita'!$B$23:$P$23</c:f>
              <c:numCache>
                <c:ptCount val="15"/>
                <c:pt idx="0">
                  <c:v>92.76847785263271</c:v>
                </c:pt>
                <c:pt idx="1">
                  <c:v>73.25900182853383</c:v>
                </c:pt>
                <c:pt idx="2">
                  <c:v>103.0586673563127</c:v>
                </c:pt>
                <c:pt idx="3">
                  <c:v>123.47808180579767</c:v>
                </c:pt>
                <c:pt idx="4">
                  <c:v>76.18517867804866</c:v>
                </c:pt>
                <c:pt idx="5">
                  <c:v>87.89940748386499</c:v>
                </c:pt>
                <c:pt idx="6">
                  <c:v>113.89037184245807</c:v>
                </c:pt>
                <c:pt idx="7">
                  <c:v>141.83343755273143</c:v>
                </c:pt>
                <c:pt idx="8">
                  <c:v>135.60390945848593</c:v>
                </c:pt>
                <c:pt idx="9">
                  <c:v>158.48960169624715</c:v>
                </c:pt>
                <c:pt idx="10">
                  <c:v>130.5980861244019</c:v>
                </c:pt>
                <c:pt idx="11">
                  <c:v>211.5968872406274</c:v>
                </c:pt>
                <c:pt idx="12">
                  <c:v>220.23817784570812</c:v>
                </c:pt>
                <c:pt idx="13">
                  <c:v>192.54081466188376</c:v>
                </c:pt>
                <c:pt idx="14">
                  <c:v>284.9128959157148</c:v>
                </c:pt>
              </c:numCache>
            </c:numRef>
          </c:val>
          <c:smooth val="0"/>
        </c:ser>
        <c:marker val="1"/>
        <c:axId val="53126658"/>
        <c:axId val="19557915"/>
      </c:lineChart>
      <c:catAx>
        <c:axId val="53126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57915"/>
        <c:crosses val="autoZero"/>
        <c:auto val="1"/>
        <c:lblOffset val="100"/>
        <c:tickLblSkip val="1"/>
        <c:noMultiLvlLbl val="0"/>
      </c:catAx>
      <c:valAx>
        <c:axId val="19557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per capita (constant 2008 prices)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6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84"/>
          <c:w val="0.8492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3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$-409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[$$-409]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'[12]Summary'!$A$54:$A$60</c:f>
              <c:strCache>
                <c:ptCount val="7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Russia</c:v>
                </c:pt>
                <c:pt idx="4">
                  <c:v>European Commision</c:v>
                </c:pt>
                <c:pt idx="5">
                  <c:v>Government of Afghanistan</c:v>
                </c:pt>
                <c:pt idx="6">
                  <c:v>Other donors</c:v>
                </c:pt>
              </c:strCache>
            </c:strRef>
          </c:cat>
          <c:val>
            <c:numRef>
              <c:f>'[12]Summary'!$B$54:$B$60</c:f>
              <c:numCache>
                <c:ptCount val="7"/>
                <c:pt idx="0">
                  <c:v>1815.390303</c:v>
                </c:pt>
                <c:pt idx="1">
                  <c:v>305.39703425000005</c:v>
                </c:pt>
                <c:pt idx="2">
                  <c:v>195.21243349999997</c:v>
                </c:pt>
                <c:pt idx="3">
                  <c:v>109</c:v>
                </c:pt>
                <c:pt idx="4">
                  <c:v>84.263141</c:v>
                </c:pt>
                <c:pt idx="5">
                  <c:v>23.520492</c:v>
                </c:pt>
                <c:pt idx="6">
                  <c:v>421.3779412500003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-0.005"/>
          <c:w val="0.921"/>
          <c:h val="0.72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'21.Cost-of-war'!$A$3</c:f>
              <c:strCache>
                <c:ptCount val="1"/>
                <c:pt idx="0">
                  <c:v>United States OEF (including ISAF costs), US fiscal year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'21.Cost-of-war'!$B$3:$J$3</c:f>
            </c:numRef>
          </c:val>
        </c:ser>
        <c:ser>
          <c:idx val="2"/>
          <c:order val="2"/>
          <c:tx>
            <c:strRef>
              <c:f>'21.Cost-of-war'!$A$4</c:f>
              <c:strCache>
                <c:ptCount val="1"/>
                <c:pt idx="0">
                  <c:v>United States  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'21.Cost-of-war'!$B$4:$J$4</c:f>
              <c:numCache/>
            </c:numRef>
          </c:val>
        </c:ser>
        <c:ser>
          <c:idx val="3"/>
          <c:order val="3"/>
          <c:tx>
            <c:strRef>
              <c:f>'21.Cost-of-war'!$A$5</c:f>
              <c:strCache>
                <c:ptCount val="1"/>
                <c:pt idx="0">
                  <c:v>NATO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'21.Cost-of-war'!$B$5:$J$5</c:f>
              <c:numCache/>
            </c:numRef>
          </c:val>
        </c:ser>
        <c:ser>
          <c:idx val="4"/>
          <c:order val="4"/>
          <c:tx>
            <c:strRef>
              <c:f>'21.Cost-of-war'!$A$6</c:f>
              <c:strCache>
                <c:ptCount val="1"/>
                <c:pt idx="0">
                  <c:v>United Kingdom (UK financial year)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'21.Cost-of-war'!$B$6:$J$6</c:f>
            </c:numRef>
          </c:val>
        </c:ser>
        <c:ser>
          <c:idx val="5"/>
          <c:order val="5"/>
          <c:tx>
            <c:strRef>
              <c:f>'21.Cost-of-war'!$A$7</c:f>
              <c:strCache>
                <c:ptCount val="1"/>
                <c:pt idx="0">
                  <c:v>United Kingdom 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'21.Cost-of-war'!$B$7:$J$7</c:f>
              <c:numCache/>
            </c:numRef>
          </c:val>
        </c:ser>
        <c:ser>
          <c:idx val="6"/>
          <c:order val="6"/>
          <c:tx>
            <c:strRef>
              <c:f>'21.Cost-of-war'!$A$8</c:f>
              <c:strCache>
                <c:ptCount val="1"/>
                <c:pt idx="0">
                  <c:v>Australia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'21.Cost-of-war'!$B$8:$J$8</c:f>
              <c:numCache/>
            </c:numRef>
          </c:val>
        </c:ser>
        <c:ser>
          <c:idx val="7"/>
          <c:order val="7"/>
          <c:tx>
            <c:strRef>
              <c:f>'21.Cost-of-war'!$A$9</c:f>
              <c:strCache>
                <c:ptCount val="1"/>
                <c:pt idx="0">
                  <c:v>Canada (Canadian fiscal year)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'21.Cost-of-war'!$B$9:$J$9</c:f>
            </c:numRef>
          </c:val>
        </c:ser>
        <c:ser>
          <c:idx val="8"/>
          <c:order val="8"/>
          <c:tx>
            <c:strRef>
              <c:f>'21.Cost-of-war'!$A$10</c:f>
              <c:strCache>
                <c:ptCount val="1"/>
                <c:pt idx="0">
                  <c:v>Canada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'21.Cost-of-war'!$B$10:$J$10</c:f>
              <c:numCache/>
            </c:numRef>
          </c:val>
        </c:ser>
        <c:ser>
          <c:idx val="9"/>
          <c:order val="9"/>
          <c:tx>
            <c:strRef>
              <c:f>'21.Cost-of-war'!$A$11</c:f>
              <c:strCache>
                <c:ptCount val="1"/>
                <c:pt idx="0">
                  <c:v>Italy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'21.Cost-of-war'!$B$11:$J$11</c:f>
              <c:numCache/>
            </c:numRef>
          </c:val>
        </c:ser>
        <c:ser>
          <c:idx val="10"/>
          <c:order val="10"/>
          <c:tx>
            <c:strRef>
              <c:f>'21.Cost-of-war'!$A$12</c:f>
              <c:strCache>
                <c:ptCount val="1"/>
                <c:pt idx="0">
                  <c:v>Germany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'21.Cost-of-war'!$B$12:$J$12</c:f>
              <c:numCache/>
            </c:numRef>
          </c:val>
        </c:ser>
        <c:ser>
          <c:idx val="11"/>
          <c:order val="11"/>
          <c:tx>
            <c:strRef>
              <c:f>'21.Cost-of-war'!$A$13</c:f>
              <c:strCache>
                <c:ptCount val="1"/>
                <c:pt idx="0">
                  <c:v>Poland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'21.Cost-of-war'!$B$1:$J$1</c:f>
              <c:numCache/>
            </c:numRef>
          </c:cat>
          <c:val>
            <c:numRef>
              <c:f>'21.Cost-of-war'!$B$13:$J$13</c:f>
              <c:numCache/>
            </c:numRef>
          </c:val>
        </c:ser>
        <c:overlap val="100"/>
        <c:axId val="52926304"/>
        <c:axId val="16953313"/>
      </c:barChart>
      <c:lineChart>
        <c:grouping val="standard"/>
        <c:varyColors val="0"/>
        <c:ser>
          <c:idx val="0"/>
          <c:order val="0"/>
          <c:tx>
            <c:strRef>
              <c:f>'21.Cost-of-war'!$A$2</c:f>
              <c:strCache>
                <c:ptCount val="1"/>
                <c:pt idx="0">
                  <c:v>Total cost of military operations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'21.Cost-of-war'!$B$1:$J$1</c:f>
              <c:numCache/>
            </c:numRef>
          </c:cat>
          <c:val>
            <c:numRef>
              <c:f>'21.Cost-of-war'!$B$2:$J$2</c:f>
              <c:numCache/>
            </c:numRef>
          </c:val>
          <c:smooth val="0"/>
        </c:ser>
        <c:axId val="52926304"/>
        <c:axId val="16953313"/>
      </c:lineChart>
      <c:catAx>
        <c:axId val="52926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3313"/>
        <c:crosses val="autoZero"/>
        <c:auto val="1"/>
        <c:lblOffset val="100"/>
        <c:tickLblSkip val="1"/>
        <c:noMultiLvlLbl val="0"/>
      </c:catAx>
      <c:valAx>
        <c:axId val="1695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6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749"/>
          <c:w val="0.664"/>
          <c:h val="0.2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-0.0085"/>
          <c:w val="0.8995"/>
          <c:h val="0.77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'[3]2.Aid-all-donors'!$A$3</c:f>
              <c:strCache>
                <c:ptCount val="1"/>
                <c:pt idx="0">
                  <c:v>DAC countries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'[3]2.Aid-all-donors'!$B$1:$I$1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'[3]2.Aid-all-donors'!$B$3:$I$3</c:f>
              <c:numCache>
                <c:ptCount val="8"/>
                <c:pt idx="0">
                  <c:v>0.9877</c:v>
                </c:pt>
                <c:pt idx="1">
                  <c:v>1.22079</c:v>
                </c:pt>
                <c:pt idx="2">
                  <c:v>1.7226</c:v>
                </c:pt>
                <c:pt idx="3">
                  <c:v>2.17535</c:v>
                </c:pt>
                <c:pt idx="4">
                  <c:v>2.40672</c:v>
                </c:pt>
                <c:pt idx="5">
                  <c:v>2.9376100000000003</c:v>
                </c:pt>
                <c:pt idx="6">
                  <c:v>3.9495500000000003</c:v>
                </c:pt>
                <c:pt idx="7">
                  <c:v>4.9238800000000005</c:v>
                </c:pt>
              </c:numCache>
            </c:numRef>
          </c:val>
        </c:ser>
        <c:ser>
          <c:idx val="0"/>
          <c:order val="1"/>
          <c:tx>
            <c:strRef>
              <c:f>'[3]2.Aid-all-donors'!$A$2</c:f>
              <c:strCache>
                <c:ptCount val="1"/>
                <c:pt idx="0">
                  <c:v>Non-DAC 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'[3]2.Aid-all-donors'!$B$1:$I$1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'[3]2.Aid-all-donors'!$B$2:$I$2</c:f>
              <c:numCache>
                <c:ptCount val="8"/>
                <c:pt idx="0">
                  <c:v>0.08342653024999999</c:v>
                </c:pt>
                <c:pt idx="1">
                  <c:v>0.19079550025</c:v>
                </c:pt>
                <c:pt idx="2">
                  <c:v>0.15675441687500002</c:v>
                </c:pt>
                <c:pt idx="3">
                  <c:v>0.19854401925</c:v>
                </c:pt>
                <c:pt idx="4">
                  <c:v>0.17299772875000002</c:v>
                </c:pt>
                <c:pt idx="5">
                  <c:v>0.180594997</c:v>
                </c:pt>
                <c:pt idx="6">
                  <c:v>0.3635413213275</c:v>
                </c:pt>
                <c:pt idx="7">
                  <c:v>0.24769288678</c:v>
                </c:pt>
              </c:numCache>
            </c:numRef>
          </c:val>
        </c:ser>
        <c:ser>
          <c:idx val="2"/>
          <c:order val="2"/>
          <c:tx>
            <c:strRef>
              <c:f>'[3]2.Aid-all-donors'!$A$4</c:f>
              <c:strCache>
                <c:ptCount val="1"/>
                <c:pt idx="0">
                  <c:v>Multilateral agencies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'[3]2.Aid-all-donors'!$B$1:$I$1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'[3]2.Aid-all-donors'!$B$4:$I$4</c:f>
              <c:numCache>
                <c:ptCount val="8"/>
                <c:pt idx="0">
                  <c:v>0.2905</c:v>
                </c:pt>
                <c:pt idx="1">
                  <c:v>0.36278</c:v>
                </c:pt>
                <c:pt idx="2">
                  <c:v>0.5503899999999999</c:v>
                </c:pt>
                <c:pt idx="3">
                  <c:v>0.60393</c:v>
                </c:pt>
                <c:pt idx="4">
                  <c:v>0.4732</c:v>
                </c:pt>
                <c:pt idx="5">
                  <c:v>0.85099</c:v>
                </c:pt>
                <c:pt idx="6">
                  <c:v>0.70227</c:v>
                </c:pt>
                <c:pt idx="7">
                  <c:v>0.95194</c:v>
                </c:pt>
              </c:numCache>
            </c:numRef>
          </c:val>
        </c:ser>
        <c:overlap val="100"/>
        <c:axId val="50938916"/>
        <c:axId val="58226133"/>
      </c:barChart>
      <c:lineChart>
        <c:grouping val="standard"/>
        <c:varyColors val="0"/>
        <c:ser>
          <c:idx val="3"/>
          <c:order val="3"/>
          <c:tx>
            <c:strRef>
              <c:f>'[3]2.Aid-all-donors'!$A$5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'[3]2.Aid-all-donors'!$B$1:$I$1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'[3]2.Aid-all-donors'!$B$5:$I$5</c:f>
              <c:numCache>
                <c:ptCount val="8"/>
                <c:pt idx="0">
                  <c:v>1.36162653025</c:v>
                </c:pt>
                <c:pt idx="1">
                  <c:v>1.77436550025</c:v>
                </c:pt>
                <c:pt idx="2">
                  <c:v>2.4297444168749998</c:v>
                </c:pt>
                <c:pt idx="3">
                  <c:v>2.97782401925</c:v>
                </c:pt>
                <c:pt idx="4">
                  <c:v>3.05291772875</c:v>
                </c:pt>
                <c:pt idx="5">
                  <c:v>3.9691949970000002</c:v>
                </c:pt>
                <c:pt idx="6">
                  <c:v>5.0153613213275</c:v>
                </c:pt>
                <c:pt idx="7">
                  <c:v>6.12351288678</c:v>
                </c:pt>
              </c:numCache>
            </c:numRef>
          </c:val>
          <c:smooth val="0"/>
        </c:ser>
        <c:axId val="50938916"/>
        <c:axId val="58226133"/>
      </c:lineChart>
      <c:catAx>
        <c:axId val="50938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26133"/>
        <c:crosses val="autoZero"/>
        <c:auto val="1"/>
        <c:lblOffset val="100"/>
        <c:tickLblSkip val="1"/>
        <c:noMultiLvlLbl val="0"/>
      </c:catAx>
      <c:valAx>
        <c:axId val="5822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8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5"/>
          <c:y val="0.81725"/>
          <c:w val="0.5987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-0.0085"/>
          <c:w val="0.896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'24&amp;25.Domestic-flows'!$B$3</c:f>
              <c:strCache>
                <c:ptCount val="1"/>
                <c:pt idx="0">
                  <c:v>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'24&amp;25.Domestic-flows'!$C$2:$J$2</c:f>
              <c:numCache/>
            </c:numRef>
          </c:cat>
          <c:val>
            <c:numRef>
              <c:f>'24&amp;25.Domestic-flows'!$C$3:$J$3</c:f>
              <c:numCache/>
            </c:numRef>
          </c:val>
        </c:ser>
        <c:ser>
          <c:idx val="1"/>
          <c:order val="1"/>
          <c:tx>
            <c:strRef>
              <c:f>'24&amp;25.Domestic-flows'!$B$4</c:f>
              <c:strCache>
                <c:ptCount val="1"/>
                <c:pt idx="0">
                  <c:v>General government revenue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'24&amp;25.Domestic-flows'!$C$2:$J$2</c:f>
              <c:numCache/>
            </c:numRef>
          </c:cat>
          <c:val>
            <c:numRef>
              <c:f>'24&amp;25.Domestic-flows'!$C$4:$J$4</c:f>
              <c:numCache/>
            </c:numRef>
          </c:val>
        </c:ser>
        <c:axId val="19066478"/>
        <c:axId val="46537623"/>
      </c:barChart>
      <c:catAx>
        <c:axId val="1906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7623"/>
        <c:crosses val="autoZero"/>
        <c:auto val="1"/>
        <c:lblOffset val="100"/>
        <c:tickLblSkip val="1"/>
        <c:noMultiLvlLbl val="0"/>
      </c:catAx>
      <c:valAx>
        <c:axId val="46537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896"/>
          <c:w val="0.52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-0.00775"/>
          <c:w val="0.896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'24&amp;25.Domestic-flows'!$B$5</c:f>
              <c:strCache>
                <c:ptCount val="1"/>
                <c:pt idx="0">
                  <c:v>Foreign direct investment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'24&amp;25.Domestic-flows'!$C$2:$J$2</c:f>
              <c:numCache/>
            </c:numRef>
          </c:cat>
          <c:val>
            <c:numRef>
              <c:f>'24&amp;25.Domestic-flows'!$C$5:$J$5</c:f>
              <c:numCache/>
            </c:numRef>
          </c:val>
        </c:ser>
        <c:ser>
          <c:idx val="1"/>
          <c:order val="1"/>
          <c:tx>
            <c:strRef>
              <c:f>'24&amp;25.Domestic-flows'!$B$6</c:f>
              <c:strCache>
                <c:ptCount val="1"/>
                <c:pt idx="0">
                  <c:v>Potential gross opium revenue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'24&amp;25.Domestic-flows'!$C$2:$J$2</c:f>
              <c:numCache/>
            </c:numRef>
          </c:cat>
          <c:val>
            <c:numRef>
              <c:f>'24&amp;25.Domestic-flows'!$C$6:$J$6</c:f>
              <c:numCache/>
            </c:numRef>
          </c:val>
        </c:ser>
        <c:ser>
          <c:idx val="2"/>
          <c:order val="2"/>
          <c:tx>
            <c:strRef>
              <c:f>'24&amp;25.Domestic-flows'!$B$7</c:f>
              <c:strCache>
                <c:ptCount val="1"/>
                <c:pt idx="0">
                  <c:v>Estimated potential income from remittances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'24&amp;25.Domestic-flows'!$C$2:$J$2</c:f>
              <c:numCache/>
            </c:numRef>
          </c:cat>
          <c:val>
            <c:numRef>
              <c:f>'24&amp;25.Domestic-flows'!$C$7:$J$7</c:f>
              <c:numCache/>
            </c:numRef>
          </c:val>
        </c:ser>
        <c:axId val="1009324"/>
        <c:axId val="13121213"/>
      </c:barChart>
      <c:catAx>
        <c:axId val="100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1213"/>
        <c:crosses val="autoZero"/>
        <c:auto val="1"/>
        <c:lblOffset val="100"/>
        <c:tickLblSkip val="1"/>
        <c:noMultiLvlLbl val="0"/>
      </c:catAx>
      <c:valAx>
        <c:axId val="1312121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32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75"/>
          <c:y val="0.758"/>
          <c:w val="0.55425"/>
          <c:h val="0.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'[16]Analysis'!$B$3</c:f>
              <c:strCache>
                <c:ptCount val="1"/>
                <c:pt idx="0">
                  <c:v>Nationals affected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'[16]Analysis'!$A$4:$A$14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'[16]Analysis'!$B$4:$B$14</c:f>
              <c:numCache>
                <c:ptCount val="11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20</c:v>
                </c:pt>
                <c:pt idx="4">
                  <c:v>36</c:v>
                </c:pt>
                <c:pt idx="5">
                  <c:v>32</c:v>
                </c:pt>
                <c:pt idx="6">
                  <c:v>54</c:v>
                </c:pt>
                <c:pt idx="7">
                  <c:v>36</c:v>
                </c:pt>
                <c:pt idx="8">
                  <c:v>50</c:v>
                </c:pt>
                <c:pt idx="9">
                  <c:v>46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'[16]Analysis'!$C$3</c:f>
              <c:strCache>
                <c:ptCount val="1"/>
                <c:pt idx="0">
                  <c:v>Internationals affected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'[16]Analysis'!$A$4:$A$14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'[16]Analysis'!$C$4:$C$14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13</c:v>
                </c:pt>
                <c:pt idx="9">
                  <c:v>16</c:v>
                </c:pt>
                <c:pt idx="10">
                  <c:v>21</c:v>
                </c:pt>
              </c:numCache>
            </c:numRef>
          </c:val>
        </c:ser>
        <c:overlap val="100"/>
        <c:axId val="36358042"/>
        <c:axId val="2892499"/>
      </c:barChart>
      <c:lineChart>
        <c:grouping val="standard"/>
        <c:varyColors val="0"/>
        <c:ser>
          <c:idx val="2"/>
          <c:order val="2"/>
          <c:tx>
            <c:strRef>
              <c:f>'[16]Analysis'!$D$3</c:f>
              <c:strCache>
                <c:ptCount val="1"/>
                <c:pt idx="0">
                  <c:v>Total humanitarian workers affected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'[16]Analysis'!$D$4:$D$14</c:f>
              <c:numCache>
                <c:ptCount val="11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22</c:v>
                </c:pt>
                <c:pt idx="4">
                  <c:v>40</c:v>
                </c:pt>
                <c:pt idx="5">
                  <c:v>35</c:v>
                </c:pt>
                <c:pt idx="6">
                  <c:v>55</c:v>
                </c:pt>
                <c:pt idx="7">
                  <c:v>48</c:v>
                </c:pt>
                <c:pt idx="8">
                  <c:v>63</c:v>
                </c:pt>
                <c:pt idx="9">
                  <c:v>62</c:v>
                </c:pt>
                <c:pt idx="10">
                  <c:v>97</c:v>
                </c:pt>
              </c:numCache>
            </c:numRef>
          </c:val>
          <c:smooth val="0"/>
        </c:ser>
        <c:axId val="36358042"/>
        <c:axId val="2892499"/>
      </c:lineChart>
      <c:catAx>
        <c:axId val="3635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499"/>
        <c:crosses val="autoZero"/>
        <c:auto val="1"/>
        <c:lblOffset val="100"/>
        <c:tickLblSkip val="1"/>
        <c:noMultiLvlLbl val="0"/>
      </c:catAx>
      <c:valAx>
        <c:axId val="2892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73125"/>
          <c:w val="0.490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'[16]Civilian_casualties'!$G$16:$M$16</c:f>
              <c:strCache>
                <c:ptCount val="7"/>
                <c:pt idx="0">
                  <c:v>Jan-Jun 2007</c:v>
                </c:pt>
                <c:pt idx="1">
                  <c:v>Jul-Dec 2007</c:v>
                </c:pt>
                <c:pt idx="2">
                  <c:v>Jan-Jun 2008</c:v>
                </c:pt>
                <c:pt idx="3">
                  <c:v>Jul-Dec 2008</c:v>
                </c:pt>
                <c:pt idx="4">
                  <c:v>Jan-Jun 2009</c:v>
                </c:pt>
                <c:pt idx="5">
                  <c:v>Jul-Dec 2009</c:v>
                </c:pt>
                <c:pt idx="6">
                  <c:v>Jan-Jun 2010</c:v>
                </c:pt>
              </c:strCache>
            </c:strRef>
          </c:cat>
          <c:val>
            <c:numRef>
              <c:f>'[16]Civilian_casualties'!$G$15:$M$15</c:f>
              <c:numCache>
                <c:ptCount val="7"/>
                <c:pt idx="0">
                  <c:v>684</c:v>
                </c:pt>
                <c:pt idx="1">
                  <c:v>839</c:v>
                </c:pt>
                <c:pt idx="2">
                  <c:v>818</c:v>
                </c:pt>
                <c:pt idx="3">
                  <c:v>1300</c:v>
                </c:pt>
                <c:pt idx="4">
                  <c:v>1054</c:v>
                </c:pt>
                <c:pt idx="5">
                  <c:v>1358</c:v>
                </c:pt>
                <c:pt idx="6">
                  <c:v>1271</c:v>
                </c:pt>
              </c:numCache>
            </c:numRef>
          </c:val>
        </c:ser>
        <c:axId val="37602488"/>
        <c:axId val="19070297"/>
      </c:barChart>
      <c:catAx>
        <c:axId val="37602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0297"/>
        <c:crosses val="autoZero"/>
        <c:auto val="1"/>
        <c:lblOffset val="100"/>
        <c:tickLblSkip val="1"/>
        <c:noMultiLvlLbl val="0"/>
      </c:catAx>
      <c:valAx>
        <c:axId val="19070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-0.0085"/>
          <c:w val="0.90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'4.CPA'!$C$6:$F$6</c:f>
              <c:strCache/>
            </c:strRef>
          </c:cat>
          <c:val>
            <c:numRef>
              <c:f>'4.CPA'!$C$7:$F$7</c:f>
              <c:numCache/>
            </c:numRef>
          </c:val>
        </c:ser>
        <c:axId val="18742226"/>
        <c:axId val="42322347"/>
      </c:barChart>
      <c:catAx>
        <c:axId val="1874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2347"/>
        <c:crosses val="autoZero"/>
        <c:auto val="1"/>
        <c:lblOffset val="100"/>
        <c:tickLblSkip val="1"/>
        <c:noMultiLvlLbl val="0"/>
      </c:catAx>
      <c:valAx>
        <c:axId val="4232234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2226"/>
        <c:crossesAt val="1"/>
        <c:crossBetween val="between"/>
        <c:dispUnits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0125"/>
          <c:w val="0.822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'[3]6.ODA-per-capita'!$A$7</c:f>
              <c:strCache>
                <c:ptCount val="1"/>
                <c:pt idx="0">
                  <c:v>Iraq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'[3]6.ODA-per-capita'!$C$5:$S$5</c:f>
              <c:numCach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'[3]6.ODA-per-capita'!$C$8:$K$8</c:f>
              <c:numCache>
                <c:ptCount val="9"/>
                <c:pt idx="0">
                  <c:v>6.957528341050615</c:v>
                </c:pt>
                <c:pt idx="1">
                  <c:v>8.449814358366353</c:v>
                </c:pt>
                <c:pt idx="2">
                  <c:v>6.851801018696435</c:v>
                </c:pt>
                <c:pt idx="3">
                  <c:v>103.78657936342212</c:v>
                </c:pt>
                <c:pt idx="4">
                  <c:v>186.7250211623223</c:v>
                </c:pt>
                <c:pt idx="5">
                  <c:v>315.2271753107587</c:v>
                </c:pt>
                <c:pt idx="6">
                  <c:v>205.92442805876416</c:v>
                </c:pt>
                <c:pt idx="7">
                  <c:v>153.20024215073883</c:v>
                </c:pt>
                <c:pt idx="8">
                  <c:v>109.9327281569136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'[3]6.ODA-per-capita'!$A$9</c:f>
              <c:strCache>
                <c:ptCount val="1"/>
                <c:pt idx="0">
                  <c:v>Afghanistan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'[3]6.ODA-per-capita'!$C$5:$S$5</c:f>
              <c:numCach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'[3]6.ODA-per-capita'!$C$11:$L$11</c:f>
              <c:numCache>
                <c:ptCount val="10"/>
                <c:pt idx="0">
                  <c:v>12.423650010635821</c:v>
                </c:pt>
                <c:pt idx="1">
                  <c:v>10.658175566183154</c:v>
                </c:pt>
                <c:pt idx="2">
                  <c:v>11.208467955827748</c:v>
                </c:pt>
                <c:pt idx="3">
                  <c:v>34.06239874091561</c:v>
                </c:pt>
                <c:pt idx="4">
                  <c:v>86.00071209221593</c:v>
                </c:pt>
                <c:pt idx="5">
                  <c:v>88.40582815513177</c:v>
                </c:pt>
                <c:pt idx="6">
                  <c:v>112.13958100904921</c:v>
                </c:pt>
                <c:pt idx="7">
                  <c:v>128.30015558303745</c:v>
                </c:pt>
                <c:pt idx="8">
                  <c:v>125.15441193353588</c:v>
                </c:pt>
                <c:pt idx="9">
                  <c:v>149.56316784209326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'[3]6.ODA-per-capita'!$A$13</c:f>
              <c:strCache>
                <c:ptCount val="1"/>
                <c:pt idx="0">
                  <c:v>Bosnia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'[3]6.ODA-per-capita'!$C$5:$S$5</c:f>
              <c:numCache>
                <c:ptCount val="1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cat>
          <c:val>
            <c:numRef>
              <c:f>'[3]6.ODA-per-capita'!$C$14:$S$14</c:f>
              <c:numCache>
                <c:ptCount val="17"/>
                <c:pt idx="0">
                  <c:v>5.103770827243497</c:v>
                </c:pt>
                <c:pt idx="1">
                  <c:v>20.125694241449867</c:v>
                </c:pt>
                <c:pt idx="2">
                  <c:v>186.57410114001755</c:v>
                </c:pt>
                <c:pt idx="3">
                  <c:v>360.0613855597779</c:v>
                </c:pt>
                <c:pt idx="4">
                  <c:v>328.8478049338905</c:v>
                </c:pt>
                <c:pt idx="5">
                  <c:v>351.21657229354713</c:v>
                </c:pt>
                <c:pt idx="6">
                  <c:v>368.81557984947534</c:v>
                </c:pt>
                <c:pt idx="7">
                  <c:v>351.01244008831924</c:v>
                </c:pt>
                <c:pt idx="8">
                  <c:v>273.69157644573545</c:v>
                </c:pt>
                <c:pt idx="9">
                  <c:v>276.53569742432984</c:v>
                </c:pt>
                <c:pt idx="10">
                  <c:v>228.04179042259395</c:v>
                </c:pt>
                <c:pt idx="11">
                  <c:v>180.54764739375744</c:v>
                </c:pt>
                <c:pt idx="12">
                  <c:v>214.2438422378773</c:v>
                </c:pt>
                <c:pt idx="13">
                  <c:v>163.1698595146871</c:v>
                </c:pt>
                <c:pt idx="14">
                  <c:v>144.71737577798186</c:v>
                </c:pt>
                <c:pt idx="15">
                  <c:v>121.17784910082021</c:v>
                </c:pt>
                <c:pt idx="16">
                  <c:v>116.06634106634105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'[3]6.ODA-per-capita'!$A$17</c:f>
              <c:strCache>
                <c:ptCount val="1"/>
                <c:pt idx="0">
                  <c:v>Sierra Leone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'[3]6.ODA-per-capita'!$C$18:$N$18</c:f>
              <c:numCache>
                <c:ptCount val="12"/>
                <c:pt idx="0">
                  <c:v>40.324158166829676</c:v>
                </c:pt>
                <c:pt idx="1">
                  <c:v>36.23506796649732</c:v>
                </c:pt>
                <c:pt idx="2">
                  <c:v>24.809915868088368</c:v>
                </c:pt>
                <c:pt idx="3">
                  <c:v>63.03915063039151</c:v>
                </c:pt>
                <c:pt idx="4">
                  <c:v>113.67553865652725</c:v>
                </c:pt>
                <c:pt idx="5">
                  <c:v>107.42672326662625</c:v>
                </c:pt>
                <c:pt idx="6">
                  <c:v>77.37015503875969</c:v>
                </c:pt>
                <c:pt idx="7">
                  <c:v>82.19616601526148</c:v>
                </c:pt>
                <c:pt idx="8">
                  <c:v>70.39742212674544</c:v>
                </c:pt>
                <c:pt idx="9">
                  <c:v>61.689859441270286</c:v>
                </c:pt>
                <c:pt idx="10">
                  <c:v>61.26922548750343</c:v>
                </c:pt>
                <c:pt idx="11">
                  <c:v>61.67457193796886</c:v>
                </c:pt>
              </c:numCache>
            </c:numRef>
          </c:val>
          <c:smooth val="0"/>
        </c:ser>
        <c:marker val="1"/>
        <c:axId val="13319600"/>
        <c:axId val="38937073"/>
      </c:lineChart>
      <c:catAx>
        <c:axId val="1331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7073"/>
        <c:crosses val="autoZero"/>
        <c:auto val="1"/>
        <c:lblOffset val="100"/>
        <c:tickLblSkip val="1"/>
        <c:noMultiLvlLbl val="0"/>
      </c:catAx>
      <c:valAx>
        <c:axId val="3893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per capita (constant 2008 prices)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9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75"/>
          <c:y val="0.92075"/>
          <c:w val="0.691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-0.0085"/>
          <c:w val="0.9005"/>
          <c:h val="0.6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'[3]ODA-excl-debt-current'!$AS$87</c:f>
              <c:strCache>
                <c:ptCount val="1"/>
                <c:pt idx="0">
                  <c:v>Other DAC countries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'[3]ODA-excl-debt-current'!$AT$87:$BA$87</c:f>
              <c:numCache>
                <c:ptCount val="8"/>
                <c:pt idx="0">
                  <c:v>0.33221</c:v>
                </c:pt>
                <c:pt idx="1">
                  <c:v>0.34674000000000005</c:v>
                </c:pt>
                <c:pt idx="2">
                  <c:v>0.41640999999999995</c:v>
                </c:pt>
                <c:pt idx="3">
                  <c:v>0.37738000000000005</c:v>
                </c:pt>
                <c:pt idx="4">
                  <c:v>0.39083999999999985</c:v>
                </c:pt>
                <c:pt idx="5">
                  <c:v>0.5487600000000001</c:v>
                </c:pt>
                <c:pt idx="6">
                  <c:v>0.81101</c:v>
                </c:pt>
                <c:pt idx="7">
                  <c:v>0.8791000000000002</c:v>
                </c:pt>
              </c:numCache>
            </c:numRef>
          </c:val>
        </c:ser>
        <c:ser>
          <c:idx val="2"/>
          <c:order val="1"/>
          <c:tx>
            <c:strRef>
              <c:f>'[3]ODA-excl-debt-current'!$AS$88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'[3]ODA-excl-debt-current'!$AT$88:$BA$88</c:f>
              <c:numCache>
                <c:ptCount val="8"/>
                <c:pt idx="0">
                  <c:v>0.36761</c:v>
                </c:pt>
                <c:pt idx="1">
                  <c:v>0.48579</c:v>
                </c:pt>
                <c:pt idx="2">
                  <c:v>0.7782899999999999</c:v>
                </c:pt>
                <c:pt idx="3">
                  <c:v>1.3183</c:v>
                </c:pt>
                <c:pt idx="4">
                  <c:v>1.40371</c:v>
                </c:pt>
                <c:pt idx="5">
                  <c:v>1.4861199999999999</c:v>
                </c:pt>
                <c:pt idx="6">
                  <c:v>2.10632</c:v>
                </c:pt>
                <c:pt idx="7">
                  <c:v>2.97993</c:v>
                </c:pt>
              </c:numCache>
            </c:numRef>
          </c:val>
        </c:ser>
        <c:ser>
          <c:idx val="3"/>
          <c:order val="2"/>
          <c:tx>
            <c:strRef>
              <c:f>'[3]ODA-excl-debt-current'!$AS$89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'[3]ODA-excl-debt-current'!$AT$89:$BA$89</c:f>
              <c:numCache>
                <c:ptCount val="8"/>
                <c:pt idx="0">
                  <c:v>0.1308</c:v>
                </c:pt>
                <c:pt idx="1">
                  <c:v>0.09861</c:v>
                </c:pt>
                <c:pt idx="2">
                  <c:v>0.22401</c:v>
                </c:pt>
                <c:pt idx="3">
                  <c:v>0.21991999999999998</c:v>
                </c:pt>
                <c:pt idx="4">
                  <c:v>0.24649000000000001</c:v>
                </c:pt>
                <c:pt idx="5">
                  <c:v>0.26871</c:v>
                </c:pt>
                <c:pt idx="6">
                  <c:v>0.32231</c:v>
                </c:pt>
                <c:pt idx="7">
                  <c:v>0.32439</c:v>
                </c:pt>
              </c:numCache>
            </c:numRef>
          </c:val>
        </c:ser>
        <c:ser>
          <c:idx val="4"/>
          <c:order val="3"/>
          <c:tx>
            <c:strRef>
              <c:f>'[3]ODA-excl-debt-current'!$AS$90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'[3]ODA-excl-debt-current'!$AT$90:$BA$90</c:f>
              <c:numCache>
                <c:ptCount val="8"/>
                <c:pt idx="0">
                  <c:v>0.08957</c:v>
                </c:pt>
                <c:pt idx="1">
                  <c:v>0.08209999999999999</c:v>
                </c:pt>
                <c:pt idx="2">
                  <c:v>0.07513</c:v>
                </c:pt>
                <c:pt idx="3">
                  <c:v>0.09923</c:v>
                </c:pt>
                <c:pt idx="4">
                  <c:v>0.11799</c:v>
                </c:pt>
                <c:pt idx="5">
                  <c:v>0.18762</c:v>
                </c:pt>
                <c:pt idx="6">
                  <c:v>0.29402</c:v>
                </c:pt>
                <c:pt idx="7">
                  <c:v>0.33734</c:v>
                </c:pt>
              </c:numCache>
            </c:numRef>
          </c:val>
        </c:ser>
        <c:ser>
          <c:idx val="5"/>
          <c:order val="4"/>
          <c:tx>
            <c:strRef>
              <c:f>'[3]ODA-excl-debt-current'!$AS$91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'[3]ODA-excl-debt-current'!$AT$91:$BA$91</c:f>
              <c:numCache>
                <c:ptCount val="8"/>
                <c:pt idx="0">
                  <c:v>0.03581</c:v>
                </c:pt>
                <c:pt idx="1">
                  <c:v>0.07313</c:v>
                </c:pt>
                <c:pt idx="2">
                  <c:v>0.056240000000000005</c:v>
                </c:pt>
                <c:pt idx="3">
                  <c:v>0.08947</c:v>
                </c:pt>
                <c:pt idx="4">
                  <c:v>0.14027</c:v>
                </c:pt>
                <c:pt idx="5">
                  <c:v>0.34539</c:v>
                </c:pt>
                <c:pt idx="6">
                  <c:v>0.20786000000000002</c:v>
                </c:pt>
                <c:pt idx="7">
                  <c:v>0.23258</c:v>
                </c:pt>
              </c:numCache>
            </c:numRef>
          </c:val>
        </c:ser>
        <c:ser>
          <c:idx val="6"/>
          <c:order val="5"/>
          <c:tx>
            <c:strRef>
              <c:f>'[3]ODA-excl-debt-current'!$AS$92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'[3]ODA-excl-debt-current'!$AT$92:$BA$92</c:f>
              <c:numCache>
                <c:ptCount val="8"/>
                <c:pt idx="0">
                  <c:v>0.0317</c:v>
                </c:pt>
                <c:pt idx="1">
                  <c:v>0.13441999999999998</c:v>
                </c:pt>
                <c:pt idx="2">
                  <c:v>0.17252</c:v>
                </c:pt>
                <c:pt idx="3">
                  <c:v>0.07105</c:v>
                </c:pt>
                <c:pt idx="4">
                  <c:v>0.10742</c:v>
                </c:pt>
                <c:pt idx="5">
                  <c:v>0.10101</c:v>
                </c:pt>
                <c:pt idx="6">
                  <c:v>0.20803</c:v>
                </c:pt>
                <c:pt idx="7">
                  <c:v>0.17054</c:v>
                </c:pt>
              </c:numCache>
            </c:numRef>
          </c:val>
        </c:ser>
        <c:ser>
          <c:idx val="7"/>
          <c:order val="6"/>
          <c:tx>
            <c:strRef>
              <c:f>'[3]ODA-excl-debt-current'!$AS$93</c:f>
              <c:strCache>
                <c:ptCount val="1"/>
                <c:pt idx="0">
                  <c:v>European Commission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'[3]ODA-excl-debt-current'!$AT$85:$BA$85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'[3]ODA-excl-debt-current'!$AT$93:$BA$93</c:f>
              <c:numCache>
                <c:ptCount val="8"/>
                <c:pt idx="0">
                  <c:v>0.14372</c:v>
                </c:pt>
                <c:pt idx="1">
                  <c:v>0.20803</c:v>
                </c:pt>
                <c:pt idx="2">
                  <c:v>0.212</c:v>
                </c:pt>
                <c:pt idx="3">
                  <c:v>0.25662</c:v>
                </c:pt>
                <c:pt idx="4">
                  <c:v>0.2209</c:v>
                </c:pt>
                <c:pt idx="5">
                  <c:v>0.30745999999999996</c:v>
                </c:pt>
                <c:pt idx="6">
                  <c:v>0.34931</c:v>
                </c:pt>
                <c:pt idx="7">
                  <c:v>0.39536</c:v>
                </c:pt>
              </c:numCache>
            </c:numRef>
          </c:val>
        </c:ser>
        <c:overlap val="100"/>
        <c:axId val="36419902"/>
        <c:axId val="3696679"/>
      </c:barChart>
      <c:catAx>
        <c:axId val="3641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6679"/>
        <c:crosses val="autoZero"/>
        <c:auto val="1"/>
        <c:lblOffset val="100"/>
        <c:tickLblSkip val="1"/>
        <c:noMultiLvlLbl val="0"/>
      </c:catAx>
      <c:valAx>
        <c:axId val="369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9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25"/>
          <c:y val="0.73125"/>
          <c:w val="0.8272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-0.007"/>
          <c:w val="0.9135"/>
          <c:h val="0.882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'[4]5.Aid-non-DAC'!$B$36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'[4]5.Aid-non-DAC'!$D$36:$K$36</c:f>
              <c:numCache>
                <c:ptCount val="8"/>
                <c:pt idx="0">
                  <c:v>23.80278024999999</c:v>
                </c:pt>
                <c:pt idx="1">
                  <c:v>10.865999999999985</c:v>
                </c:pt>
                <c:pt idx="2">
                  <c:v>20.402500000000032</c:v>
                </c:pt>
                <c:pt idx="3">
                  <c:v>10.490685749999983</c:v>
                </c:pt>
                <c:pt idx="4">
                  <c:v>15.204395250000061</c:v>
                </c:pt>
                <c:pt idx="5">
                  <c:v>25.794163499999996</c:v>
                </c:pt>
                <c:pt idx="6">
                  <c:v>20.435487952499898</c:v>
                </c:pt>
                <c:pt idx="7">
                  <c:v>66.00266353</c:v>
                </c:pt>
              </c:numCache>
            </c:numRef>
          </c:val>
        </c:ser>
        <c:ser>
          <c:idx val="0"/>
          <c:order val="1"/>
          <c:tx>
            <c:strRef>
              <c:f>'[4]5.Aid-non-DAC'!$B$31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'[4]5.Aid-non-DAC'!$D$31:$K$31</c:f>
              <c:numCache>
                <c:ptCount val="8"/>
                <c:pt idx="0">
                  <c:v>15.58</c:v>
                </c:pt>
                <c:pt idx="1">
                  <c:v>50.22250025</c:v>
                </c:pt>
                <c:pt idx="2">
                  <c:v>23.554166875</c:v>
                </c:pt>
                <c:pt idx="3">
                  <c:v>98.65708350000001</c:v>
                </c:pt>
                <c:pt idx="4">
                  <c:v>43.8570835</c:v>
                </c:pt>
                <c:pt idx="5">
                  <c:v>30.508333499999996</c:v>
                </c:pt>
                <c:pt idx="6">
                  <c:v>124.138333375</c:v>
                </c:pt>
                <c:pt idx="7">
                  <c:v>45.640223250000005</c:v>
                </c:pt>
              </c:numCache>
            </c:numRef>
          </c:val>
        </c:ser>
        <c:ser>
          <c:idx val="1"/>
          <c:order val="2"/>
          <c:tx>
            <c:strRef>
              <c:f>'[4]5.Aid-non-DAC'!$B$32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'[4]5.Aid-non-DAC'!$D$32:$K$32</c:f>
              <c:numCache>
                <c:ptCount val="8"/>
                <c:pt idx="0">
                  <c:v>0.38</c:v>
                </c:pt>
                <c:pt idx="1">
                  <c:v>0.7</c:v>
                </c:pt>
                <c:pt idx="2">
                  <c:v>8.74</c:v>
                </c:pt>
                <c:pt idx="3">
                  <c:v>28.56</c:v>
                </c:pt>
                <c:pt idx="4">
                  <c:v>57.65</c:v>
                </c:pt>
                <c:pt idx="5">
                  <c:v>71.61</c:v>
                </c:pt>
                <c:pt idx="6">
                  <c:v>141.96</c:v>
                </c:pt>
                <c:pt idx="7">
                  <c:v>96.46</c:v>
                </c:pt>
              </c:numCache>
            </c:numRef>
          </c:val>
        </c:ser>
        <c:ser>
          <c:idx val="2"/>
          <c:order val="3"/>
          <c:tx>
            <c:strRef>
              <c:f>'[4]5.Aid-non-DAC'!$B$33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'[4]5.Aid-non-DAC'!$D$33:$K$33</c:f>
              <c:numCache>
                <c:ptCount val="8"/>
                <c:pt idx="0">
                  <c:v>35.433749999999996</c:v>
                </c:pt>
                <c:pt idx="1">
                  <c:v>67.387</c:v>
                </c:pt>
                <c:pt idx="2">
                  <c:v>53.22775</c:v>
                </c:pt>
                <c:pt idx="3">
                  <c:v>50.126250000000006</c:v>
                </c:pt>
                <c:pt idx="4">
                  <c:v>52.08624999999999</c:v>
                </c:pt>
                <c:pt idx="5">
                  <c:v>42.0625</c:v>
                </c:pt>
                <c:pt idx="6">
                  <c:v>32.9075</c:v>
                </c:pt>
                <c:pt idx="7">
                  <c:v>7.75</c:v>
                </c:pt>
              </c:numCache>
            </c:numRef>
          </c:val>
        </c:ser>
        <c:ser>
          <c:idx val="3"/>
          <c:order val="4"/>
          <c:tx>
            <c:strRef>
              <c:f>'[4]5.Aid-non-DAC'!$B$34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'[4]5.Aid-non-DAC'!$D$34:$K$34</c:f>
              <c:numCache>
                <c:ptCount val="8"/>
                <c:pt idx="0">
                  <c:v>7.5</c:v>
                </c:pt>
                <c:pt idx="1">
                  <c:v>55.5</c:v>
                </c:pt>
                <c:pt idx="2">
                  <c:v>44.75</c:v>
                </c:pt>
                <c:pt idx="3">
                  <c:v>8.75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5.75</c:v>
                </c:pt>
              </c:numCache>
            </c:numRef>
          </c:val>
        </c:ser>
        <c:ser>
          <c:idx val="4"/>
          <c:order val="5"/>
          <c:tx>
            <c:strRef>
              <c:f>'[4]5.Aid-non-DAC'!$B$35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'[4]5.Aid-non-DAC'!$D$30:$K$30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'[4]5.Aid-non-DAC'!$D$35:$K$35</c:f>
              <c:numCache>
                <c:ptCount val="8"/>
                <c:pt idx="0">
                  <c:v>0.73</c:v>
                </c:pt>
                <c:pt idx="1">
                  <c:v>6.12</c:v>
                </c:pt>
                <c:pt idx="2">
                  <c:v>6.08</c:v>
                </c:pt>
                <c:pt idx="3">
                  <c:v>1.96</c:v>
                </c:pt>
                <c:pt idx="4">
                  <c:v>4.2</c:v>
                </c:pt>
                <c:pt idx="5">
                  <c:v>10.62</c:v>
                </c:pt>
                <c:pt idx="6">
                  <c:v>42.1</c:v>
                </c:pt>
                <c:pt idx="7">
                  <c:v>26.09</c:v>
                </c:pt>
              </c:numCache>
            </c:numRef>
          </c:val>
        </c:ser>
        <c:overlap val="100"/>
        <c:axId val="48056828"/>
        <c:axId val="20758989"/>
      </c:barChart>
      <c:catAx>
        <c:axId val="48056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58989"/>
        <c:crosses val="autoZero"/>
        <c:auto val="1"/>
        <c:lblOffset val="100"/>
        <c:tickLblSkip val="1"/>
        <c:noMultiLvlLbl val="0"/>
      </c:catAx>
      <c:valAx>
        <c:axId val="2075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6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25"/>
          <c:y val="0.91375"/>
          <c:w val="0.8402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896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'[6]Analysis'!$B$4</c:f>
              <c:strCache>
                <c:ptCount val="1"/>
                <c:pt idx="0">
                  <c:v>Public sector (recipient)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'[6]Analysis'!$C$4:$E$4</c:f>
              <c:numCache>
                <c:ptCount val="3"/>
                <c:pt idx="0">
                  <c:v>250.78523946192868</c:v>
                </c:pt>
                <c:pt idx="1">
                  <c:v>188.54879373267482</c:v>
                </c:pt>
                <c:pt idx="2">
                  <c:v>214.0529209906989</c:v>
                </c:pt>
              </c:numCache>
            </c:numRef>
          </c:val>
        </c:ser>
        <c:ser>
          <c:idx val="1"/>
          <c:order val="1"/>
          <c:tx>
            <c:strRef>
              <c:f>'[6]Analysis'!$B$5</c:f>
              <c:strCache>
                <c:ptCount val="1"/>
                <c:pt idx="0">
                  <c:v>Public sector (donor)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'[6]Analysis'!$C$5:$E$5</c:f>
              <c:numCache>
                <c:ptCount val="3"/>
                <c:pt idx="0">
                  <c:v>197.31211077849179</c:v>
                </c:pt>
                <c:pt idx="1">
                  <c:v>314.3430060921114</c:v>
                </c:pt>
                <c:pt idx="2">
                  <c:v>321.27933260472014</c:v>
                </c:pt>
              </c:numCache>
            </c:numRef>
          </c:val>
        </c:ser>
        <c:ser>
          <c:idx val="2"/>
          <c:order val="2"/>
          <c:tx>
            <c:strRef>
              <c:f>'[6]Analysis'!$B$6</c:f>
              <c:strCache>
                <c:ptCount val="1"/>
                <c:pt idx="0">
                  <c:v>Public sector (unspecified)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'[6]Analysis'!$C$6:$E$6</c:f>
              <c:numCache>
                <c:ptCount val="3"/>
                <c:pt idx="0">
                  <c:v>924.9782728974527</c:v>
                </c:pt>
                <c:pt idx="1">
                  <c:v>1460.9419500054</c:v>
                </c:pt>
                <c:pt idx="2">
                  <c:v>1701.5977529673323</c:v>
                </c:pt>
              </c:numCache>
            </c:numRef>
          </c:val>
        </c:ser>
        <c:axId val="1431402"/>
        <c:axId val="18608227"/>
      </c:barChart>
      <c:catAx>
        <c:axId val="143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08227"/>
        <c:crosses val="autoZero"/>
        <c:auto val="1"/>
        <c:lblOffset val="100"/>
        <c:tickLblSkip val="1"/>
        <c:noMultiLvlLbl val="0"/>
      </c:catAx>
      <c:valAx>
        <c:axId val="186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96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7"/>
          <c:w val="0.8965"/>
          <c:h val="0.7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'[7]ARTF-analysis'!$A$6</c:f>
              <c:strCache>
                <c:ptCount val="1"/>
                <c:pt idx="0">
                  <c:v>Preferenced contributions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'[7]ARTF-analysis'!$B$6:$I$6</c:f>
              <c:numCache>
                <c:ptCount val="8"/>
                <c:pt idx="1">
                  <c:v>16.065</c:v>
                </c:pt>
                <c:pt idx="2">
                  <c:v>47.775000000000006</c:v>
                </c:pt>
                <c:pt idx="3">
                  <c:v>96.7</c:v>
                </c:pt>
                <c:pt idx="4">
                  <c:v>130.66000000000003</c:v>
                </c:pt>
                <c:pt idx="5">
                  <c:v>241.2375</c:v>
                </c:pt>
                <c:pt idx="6">
                  <c:v>289.9925</c:v>
                </c:pt>
                <c:pt idx="7">
                  <c:v>297.195</c:v>
                </c:pt>
              </c:numCache>
            </c:numRef>
          </c:val>
        </c:ser>
        <c:ser>
          <c:idx val="0"/>
          <c:order val="2"/>
          <c:tx>
            <c:strRef>
              <c:f>'[7]ARTF-analysis'!$A$5</c:f>
              <c:strCache>
                <c:ptCount val="1"/>
                <c:pt idx="0">
                  <c:v>Non-preferenced contributions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'[7]ARTF-analysis'!$B$5:$I$5</c:f>
              <c:numCache>
                <c:ptCount val="8"/>
                <c:pt idx="0">
                  <c:v>138.57750000000001</c:v>
                </c:pt>
                <c:pt idx="1">
                  <c:v>244.96499999999997</c:v>
                </c:pt>
                <c:pt idx="2">
                  <c:v>309.10749999999996</c:v>
                </c:pt>
                <c:pt idx="3">
                  <c:v>301.42</c:v>
                </c:pt>
                <c:pt idx="4">
                  <c:v>310.79074999999995</c:v>
                </c:pt>
                <c:pt idx="5">
                  <c:v>348.34049999999996</c:v>
                </c:pt>
                <c:pt idx="6">
                  <c:v>338.81725</c:v>
                </c:pt>
                <c:pt idx="7">
                  <c:v>352.482</c:v>
                </c:pt>
              </c:numCache>
            </c:numRef>
          </c:val>
        </c:ser>
        <c:overlap val="100"/>
        <c:axId val="40580360"/>
        <c:axId val="57782633"/>
      </c:barChart>
      <c:lineChart>
        <c:grouping val="standard"/>
        <c:varyColors val="0"/>
        <c:ser>
          <c:idx val="1"/>
          <c:order val="0"/>
          <c:tx>
            <c:strRef>
              <c:f>'[7]ARTF-analysis'!$A$4</c:f>
              <c:strCache>
                <c:ptCount val="1"/>
                <c:pt idx="0">
                  <c:v>Total donor contributions to ARTF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'[7]ARTF-analysis'!$B$1:$I$1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'[7]ARTF-analysis'!$B$4:$I$4</c:f>
              <c:numCache>
                <c:ptCount val="8"/>
                <c:pt idx="0">
                  <c:v>138.57750000000001</c:v>
                </c:pt>
                <c:pt idx="1">
                  <c:v>261.03</c:v>
                </c:pt>
                <c:pt idx="2">
                  <c:v>356.8825</c:v>
                </c:pt>
                <c:pt idx="3">
                  <c:v>398.12</c:v>
                </c:pt>
                <c:pt idx="4">
                  <c:v>441.45074999999997</c:v>
                </c:pt>
                <c:pt idx="5">
                  <c:v>589.578</c:v>
                </c:pt>
                <c:pt idx="6">
                  <c:v>628.80975</c:v>
                </c:pt>
                <c:pt idx="7">
                  <c:v>649.677</c:v>
                </c:pt>
              </c:numCache>
            </c:numRef>
          </c:val>
          <c:smooth val="0"/>
        </c:ser>
        <c:axId val="40580360"/>
        <c:axId val="57782633"/>
      </c:lineChart>
      <c:catAx>
        <c:axId val="405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633"/>
        <c:crosses val="autoZero"/>
        <c:auto val="1"/>
        <c:lblOffset val="100"/>
        <c:tickLblSkip val="1"/>
        <c:noMultiLvlLbl val="0"/>
      </c:catAx>
      <c:valAx>
        <c:axId val="57782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80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77275"/>
          <c:w val="0.4565"/>
          <c:h val="0.2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55"/>
          <c:w val="0.93725"/>
          <c:h val="0.56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'[6]Analysis'!$B$11</c:f>
              <c:strCache>
                <c:ptCount val="1"/>
                <c:pt idx="0">
                  <c:v>UN agencies, funds and commisions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'[6]Analysis'!$C$11:$E$11</c:f>
              <c:numCache>
                <c:ptCount val="3"/>
                <c:pt idx="0">
                  <c:v>658.842991777551</c:v>
                </c:pt>
                <c:pt idx="1">
                  <c:v>797.0396448137448</c:v>
                </c:pt>
                <c:pt idx="2">
                  <c:v>863.9277995955715</c:v>
                </c:pt>
              </c:numCache>
            </c:numRef>
          </c:val>
        </c:ser>
        <c:ser>
          <c:idx val="0"/>
          <c:order val="1"/>
          <c:tx>
            <c:strRef>
              <c:f>'[6]Analysis'!$B$8</c:f>
              <c:strCache>
                <c:ptCount val="1"/>
                <c:pt idx="0">
                  <c:v>International NGOs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'[6]Analysis'!$C$8:$E$8</c:f>
              <c:numCache>
                <c:ptCount val="3"/>
                <c:pt idx="0">
                  <c:v>238.4506700619774</c:v>
                </c:pt>
                <c:pt idx="1">
                  <c:v>349.8817309483041</c:v>
                </c:pt>
                <c:pt idx="2">
                  <c:v>804.7211603565236</c:v>
                </c:pt>
              </c:numCache>
            </c:numRef>
          </c:val>
        </c:ser>
        <c:ser>
          <c:idx val="1"/>
          <c:order val="2"/>
          <c:tx>
            <c:strRef>
              <c:f>'[6]Analysis'!$B$9</c:f>
              <c:strCache>
                <c:ptCount val="1"/>
                <c:pt idx="0">
                  <c:v>International Committee of the Red Cross; Red Cross and Red Crescent societies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'[6]Analysis'!$C$9:$E$9</c:f>
              <c:numCache>
                <c:ptCount val="3"/>
                <c:pt idx="0">
                  <c:v>13.697334208603085</c:v>
                </c:pt>
                <c:pt idx="1">
                  <c:v>27.96144299252025</c:v>
                </c:pt>
                <c:pt idx="2">
                  <c:v>67.21708799700143</c:v>
                </c:pt>
              </c:numCache>
            </c:numRef>
          </c:val>
        </c:ser>
        <c:ser>
          <c:idx val="2"/>
          <c:order val="3"/>
          <c:tx>
            <c:strRef>
              <c:f>'[6]Analysis'!$B$10</c:f>
              <c:strCache>
                <c:ptCount val="1"/>
                <c:pt idx="0">
                  <c:v>Local NGOs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'[6]Analysis'!$C$3:$E$3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'[6]Analysis'!$C$10:$E$10</c:f>
              <c:numCache>
                <c:ptCount val="3"/>
                <c:pt idx="0">
                  <c:v>6.5898570354684916</c:v>
                </c:pt>
                <c:pt idx="1">
                  <c:v>15.46002767195958</c:v>
                </c:pt>
                <c:pt idx="2">
                  <c:v>28.10392015631176</c:v>
                </c:pt>
              </c:numCache>
            </c:numRef>
          </c:val>
        </c:ser>
        <c:axId val="12976726"/>
        <c:axId val="34479711"/>
      </c:barChart>
      <c:catAx>
        <c:axId val="1297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79711"/>
        <c:crosses val="autoZero"/>
        <c:auto val="1"/>
        <c:lblOffset val="100"/>
        <c:tickLblSkip val="1"/>
        <c:noMultiLvlLbl val="0"/>
      </c:catAx>
      <c:valAx>
        <c:axId val="34479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6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5"/>
          <c:y val="0.5975"/>
          <c:w val="0.826"/>
          <c:h val="0.31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161925</xdr:rowOff>
    </xdr:from>
    <xdr:to>
      <xdr:col>11</xdr:col>
      <xdr:colOff>485775</xdr:colOff>
      <xdr:row>29</xdr:row>
      <xdr:rowOff>171450</xdr:rowOff>
    </xdr:to>
    <xdr:graphicFrame>
      <xdr:nvGraphicFramePr>
        <xdr:cNvPr id="1" name="Chart 11"/>
        <xdr:cNvGraphicFramePr/>
      </xdr:nvGraphicFramePr>
      <xdr:xfrm>
        <a:off x="4610100" y="1304925"/>
        <a:ext cx="5514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14</xdr:col>
      <xdr:colOff>304800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4857750" y="152400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27</xdr:row>
      <xdr:rowOff>9525</xdr:rowOff>
    </xdr:from>
    <xdr:to>
      <xdr:col>24</xdr:col>
      <xdr:colOff>466725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13163550" y="581025"/>
        <a:ext cx="4572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27</xdr:row>
      <xdr:rowOff>9525</xdr:rowOff>
    </xdr:from>
    <xdr:to>
      <xdr:col>32</xdr:col>
      <xdr:colOff>323850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17897475" y="581025"/>
        <a:ext cx="45720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44</xdr:row>
      <xdr:rowOff>123825</xdr:rowOff>
    </xdr:from>
    <xdr:to>
      <xdr:col>24</xdr:col>
      <xdr:colOff>476250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3173075" y="3943350"/>
        <a:ext cx="45720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</xdr:colOff>
      <xdr:row>44</xdr:row>
      <xdr:rowOff>152400</xdr:rowOff>
    </xdr:from>
    <xdr:to>
      <xdr:col>32</xdr:col>
      <xdr:colOff>323850</xdr:colOff>
      <xdr:row>61</xdr:row>
      <xdr:rowOff>123825</xdr:rowOff>
    </xdr:to>
    <xdr:graphicFrame>
      <xdr:nvGraphicFramePr>
        <xdr:cNvPr id="4" name="Chart 4"/>
        <xdr:cNvGraphicFramePr/>
      </xdr:nvGraphicFramePr>
      <xdr:xfrm>
        <a:off x="17897475" y="3971925"/>
        <a:ext cx="457200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62</xdr:row>
      <xdr:rowOff>104775</xdr:rowOff>
    </xdr:from>
    <xdr:to>
      <xdr:col>24</xdr:col>
      <xdr:colOff>476250</xdr:colOff>
      <xdr:row>79</xdr:row>
      <xdr:rowOff>85725</xdr:rowOff>
    </xdr:to>
    <xdr:graphicFrame>
      <xdr:nvGraphicFramePr>
        <xdr:cNvPr id="5" name="Chart 5"/>
        <xdr:cNvGraphicFramePr/>
      </xdr:nvGraphicFramePr>
      <xdr:xfrm>
        <a:off x="13173075" y="7362825"/>
        <a:ext cx="457200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62</xdr:row>
      <xdr:rowOff>85725</xdr:rowOff>
    </xdr:from>
    <xdr:to>
      <xdr:col>32</xdr:col>
      <xdr:colOff>304800</xdr:colOff>
      <xdr:row>79</xdr:row>
      <xdr:rowOff>66675</xdr:rowOff>
    </xdr:to>
    <xdr:graphicFrame>
      <xdr:nvGraphicFramePr>
        <xdr:cNvPr id="6" name="Chart 6"/>
        <xdr:cNvGraphicFramePr/>
      </xdr:nvGraphicFramePr>
      <xdr:xfrm>
        <a:off x="17878425" y="7343775"/>
        <a:ext cx="457200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9525</xdr:rowOff>
    </xdr:from>
    <xdr:to>
      <xdr:col>12</xdr:col>
      <xdr:colOff>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219200" y="1914525"/>
        <a:ext cx="6096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104775</xdr:rowOff>
    </xdr:from>
    <xdr:to>
      <xdr:col>7</xdr:col>
      <xdr:colOff>66675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57150" y="4867275"/>
        <a:ext cx="4572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51</xdr:row>
      <xdr:rowOff>171450</xdr:rowOff>
    </xdr:from>
    <xdr:to>
      <xdr:col>7</xdr:col>
      <xdr:colOff>581025</xdr:colOff>
      <xdr:row>66</xdr:row>
      <xdr:rowOff>57150</xdr:rowOff>
    </xdr:to>
    <xdr:graphicFrame>
      <xdr:nvGraphicFramePr>
        <xdr:cNvPr id="1" name="Chart 1"/>
        <xdr:cNvGraphicFramePr/>
      </xdr:nvGraphicFramePr>
      <xdr:xfrm>
        <a:off x="3505200" y="9896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20</xdr:row>
      <xdr:rowOff>76200</xdr:rowOff>
    </xdr:from>
    <xdr:to>
      <xdr:col>12</xdr:col>
      <xdr:colOff>114300</xdr:colOff>
      <xdr:row>45</xdr:row>
      <xdr:rowOff>66675</xdr:rowOff>
    </xdr:to>
    <xdr:graphicFrame>
      <xdr:nvGraphicFramePr>
        <xdr:cNvPr id="1" name="Chart 2"/>
        <xdr:cNvGraphicFramePr/>
      </xdr:nvGraphicFramePr>
      <xdr:xfrm>
        <a:off x="2047875" y="3314700"/>
        <a:ext cx="5953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8</xdr:row>
      <xdr:rowOff>9525</xdr:rowOff>
    </xdr:from>
    <xdr:to>
      <xdr:col>9</xdr:col>
      <xdr:colOff>200025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2181225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8</xdr:row>
      <xdr:rowOff>38100</xdr:rowOff>
    </xdr:from>
    <xdr:to>
      <xdr:col>17</xdr:col>
      <xdr:colOff>314325</xdr:colOff>
      <xdr:row>24</xdr:row>
      <xdr:rowOff>28575</xdr:rowOff>
    </xdr:to>
    <xdr:graphicFrame>
      <xdr:nvGraphicFramePr>
        <xdr:cNvPr id="2" name="Chart 4"/>
        <xdr:cNvGraphicFramePr/>
      </xdr:nvGraphicFramePr>
      <xdr:xfrm>
        <a:off x="7229475" y="2238375"/>
        <a:ext cx="4572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</xdr:row>
      <xdr:rowOff>76200</xdr:rowOff>
    </xdr:from>
    <xdr:to>
      <xdr:col>13</xdr:col>
      <xdr:colOff>219075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629025" y="266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21</xdr:row>
      <xdr:rowOff>152400</xdr:rowOff>
    </xdr:from>
    <xdr:to>
      <xdr:col>13</xdr:col>
      <xdr:colOff>314325</xdr:colOff>
      <xdr:row>36</xdr:row>
      <xdr:rowOff>38100</xdr:rowOff>
    </xdr:to>
    <xdr:graphicFrame>
      <xdr:nvGraphicFramePr>
        <xdr:cNvPr id="2" name="Chart 4"/>
        <xdr:cNvGraphicFramePr/>
      </xdr:nvGraphicFramePr>
      <xdr:xfrm>
        <a:off x="3724275" y="4152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152400</xdr:rowOff>
    </xdr:from>
    <xdr:to>
      <xdr:col>8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495425" y="3019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10</xdr:col>
      <xdr:colOff>304800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28800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0.1775</cdr:y>
    </cdr:from>
    <cdr:to>
      <cdr:x>0.28425</cdr:x>
      <cdr:y>0.82525</cdr:y>
    </cdr:to>
    <cdr:sp>
      <cdr:nvSpPr>
        <cdr:cNvPr id="1" name="Straight Arrow Connector 2"/>
        <cdr:cNvSpPr>
          <a:spLocks/>
        </cdr:cNvSpPr>
      </cdr:nvSpPr>
      <cdr:spPr>
        <a:xfrm rot="5400000">
          <a:off x="1428750" y="628650"/>
          <a:ext cx="85725" cy="2314575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0.1505</cdr:x>
      <cdr:y>0.01275</cdr:y>
    </cdr:from>
    <cdr:to>
      <cdr:x>0.43175</cdr:x>
      <cdr:y>0.2435</cdr:y>
    </cdr:to>
    <cdr:sp>
      <cdr:nvSpPr>
        <cdr:cNvPr id="2" name="TextBox 3"/>
        <cdr:cNvSpPr txBox="1">
          <a:spLocks noChangeArrowheads="1"/>
        </cdr:cNvSpPr>
      </cdr:nvSpPr>
      <cdr:spPr>
        <a:xfrm>
          <a:off x="800100" y="38100"/>
          <a:ext cx="14954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First year of international military intervention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180975</xdr:rowOff>
    </xdr:from>
    <xdr:to>
      <xdr:col>9</xdr:col>
      <xdr:colOff>609600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219200" y="4943475"/>
        <a:ext cx="5324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94</xdr:row>
      <xdr:rowOff>95250</xdr:rowOff>
    </xdr:from>
    <xdr:to>
      <xdr:col>51</xdr:col>
      <xdr:colOff>542925</xdr:colOff>
      <xdr:row>108</xdr:row>
      <xdr:rowOff>171450</xdr:rowOff>
    </xdr:to>
    <xdr:graphicFrame>
      <xdr:nvGraphicFramePr>
        <xdr:cNvPr id="1" name="Chart 1"/>
        <xdr:cNvGraphicFramePr/>
      </xdr:nvGraphicFramePr>
      <xdr:xfrm>
        <a:off x="2638425" y="18288000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2581275</xdr:colOff>
      <xdr:row>34</xdr:row>
      <xdr:rowOff>180975</xdr:rowOff>
    </xdr:from>
    <xdr:to>
      <xdr:col>10</xdr:col>
      <xdr:colOff>561975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90875" y="7058025"/>
        <a:ext cx="5448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6</xdr:row>
      <xdr:rowOff>66675</xdr:rowOff>
    </xdr:from>
    <xdr:to>
      <xdr:col>15</xdr:col>
      <xdr:colOff>238125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5438775" y="120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</xdr:row>
      <xdr:rowOff>19050</xdr:rowOff>
    </xdr:from>
    <xdr:to>
      <xdr:col>9</xdr:col>
      <xdr:colOff>47625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38325" y="1743075"/>
        <a:ext cx="4572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Cost%20of%20war\gha-Afghanistan-military-operations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DAC-humanitarian-aid-recipients-1990-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HA\gha-Afghanistan-additional-appeal-analysis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gha-Afghanistan-security-sector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Non-ODA\gha-Afghanistan-non-ODA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Non-ODA\gha-Afghanistan-US-aid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Domestic%20revenues\GHA-Afghanistan-Other-resource-flows-calculations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HA\gha-Afghanistan-humanitarian-securi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Non-ODA\gha-Afghanistan-PRT-expenditur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gha-Afghanistan-ODA-analysi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Non-DAC\gha-Afghanistan-emerging-donor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gha-Afghanistan-DAC-donors-imputed-multilateral-OD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gha-Afghanistan-channe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Pooled%20funds\gha-afghanistan-pooled-fund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Aid\gha-afghanistan-sector-analysi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diap\Documents\Afghanistan\HA\gha-Afghanistan-humanitarian-aid-analy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itary Ops"/>
      <sheetName val="Other-peacekeeping-ops"/>
      <sheetName val="SIPRI_PK_OPs"/>
      <sheetName val="Poland-OEF-ISAF"/>
      <sheetName val="Italy-ISAF"/>
      <sheetName val="ISAF-SIPRI"/>
      <sheetName val="Troop-Contributions-Oct-2010"/>
      <sheetName val="Troop-contributions-2007-10"/>
      <sheetName val="Exchange-rates"/>
    </sheetNames>
    <sheetDataSet>
      <sheetData sheetId="0">
        <row r="4">
          <cell r="C4">
            <v>15</v>
          </cell>
          <cell r="D4">
            <v>15.5</v>
          </cell>
          <cell r="E4">
            <v>12.8</v>
          </cell>
          <cell r="F4">
            <v>15.999999999999998</v>
          </cell>
          <cell r="G4">
            <v>17.724999999999998</v>
          </cell>
          <cell r="H4">
            <v>32.375</v>
          </cell>
          <cell r="I4">
            <v>39.75</v>
          </cell>
          <cell r="J4">
            <v>52.225</v>
          </cell>
        </row>
        <row r="7">
          <cell r="C7">
            <v>0.36871839409574597</v>
          </cell>
          <cell r="D7">
            <v>0.08703770765409011</v>
          </cell>
          <cell r="E7">
            <v>0.18250908239286223</v>
          </cell>
          <cell r="F7">
            <v>0.6108402109043369</v>
          </cell>
          <cell r="G7">
            <v>1.7709911062619965</v>
          </cell>
          <cell r="H7">
            <v>3.4579717042199816</v>
          </cell>
          <cell r="I7">
            <v>4.964813077419241</v>
          </cell>
          <cell r="J7">
            <v>4.087188362119977</v>
          </cell>
        </row>
        <row r="8">
          <cell r="C8">
            <v>0.09558422599586815</v>
          </cell>
          <cell r="D8">
            <v>0</v>
          </cell>
          <cell r="E8">
            <v>0</v>
          </cell>
          <cell r="F8">
            <v>0.06931838696875263</v>
          </cell>
          <cell r="G8">
            <v>0.16815810024271097</v>
          </cell>
          <cell r="H8">
            <v>0.33039583077107143</v>
          </cell>
          <cell r="I8">
            <v>0.5862212943632568</v>
          </cell>
          <cell r="J8">
            <v>1.090880730009554</v>
          </cell>
        </row>
        <row r="10">
          <cell r="C10">
            <v>0.39684151909513266</v>
          </cell>
          <cell r="D10">
            <v>0.7000903088736465</v>
          </cell>
          <cell r="E10">
            <v>0.8261657888494107</v>
          </cell>
          <cell r="F10">
            <v>0.7487466360774101</v>
          </cell>
          <cell r="G10">
            <v>1.0458650002246026</v>
          </cell>
          <cell r="H10">
            <v>1.623614740649273</v>
          </cell>
          <cell r="I10">
            <v>0.4449649147957351</v>
          </cell>
          <cell r="J10">
            <v>1.4653275894244089</v>
          </cell>
        </row>
        <row r="11">
          <cell r="C11">
            <v>0.06672668643921638</v>
          </cell>
          <cell r="D11">
            <v>0.07722275809617804</v>
          </cell>
          <cell r="E11">
            <v>0.14321593999838234</v>
          </cell>
          <cell r="F11">
            <v>0.09251043281031535</v>
          </cell>
          <cell r="G11">
            <v>0.5326356480298923</v>
          </cell>
          <cell r="H11">
            <v>0.4599436817617068</v>
          </cell>
          <cell r="I11">
            <v>0.5118156438466318</v>
          </cell>
          <cell r="J11">
            <v>0.7503587357911823</v>
          </cell>
        </row>
        <row r="12">
          <cell r="C12">
            <v>0.4024251060489112</v>
          </cell>
          <cell r="D12">
            <v>0.4729097074602693</v>
          </cell>
          <cell r="E12">
            <v>0.34888128755086456</v>
          </cell>
          <cell r="F12">
            <v>0.3781885971725959</v>
          </cell>
          <cell r="G12">
            <v>0.47483368896698885</v>
          </cell>
          <cell r="H12">
            <v>0.6269750398224976</v>
          </cell>
          <cell r="I12">
            <v>0.6659600131583756</v>
          </cell>
          <cell r="J12">
            <v>0.8221633454351666</v>
          </cell>
        </row>
        <row r="13">
          <cell r="C13">
            <v>0.007840030066515305</v>
          </cell>
          <cell r="D13">
            <v>0.003780467481807464</v>
          </cell>
          <cell r="E13">
            <v>0.0028212476652806034</v>
          </cell>
          <cell r="F13">
            <v>0.003246728148360016</v>
          </cell>
          <cell r="G13">
            <v>0.012920966539852159</v>
          </cell>
          <cell r="H13">
            <v>0.12273643670159387</v>
          </cell>
          <cell r="I13">
            <v>0.16588578361323966</v>
          </cell>
          <cell r="J13">
            <v>0.25180138660682083</v>
          </cell>
        </row>
        <row r="17">
          <cell r="J17">
            <v>242.89235365388026</v>
          </cell>
        </row>
      </sheetData>
      <sheetData sheetId="2">
        <row r="2">
          <cell r="P2">
            <v>0.77248</v>
          </cell>
        </row>
      </sheetData>
      <sheetData sheetId="3">
        <row r="4">
          <cell r="B4">
            <v>7.840030066515306</v>
          </cell>
          <cell r="C4">
            <v>3.7804674818074644</v>
          </cell>
          <cell r="D4">
            <v>2.8212476652806036</v>
          </cell>
          <cell r="E4">
            <v>3.246728148360016</v>
          </cell>
          <cell r="F4">
            <v>12.92096653985216</v>
          </cell>
          <cell r="G4">
            <v>122.73643670159387</v>
          </cell>
          <cell r="H4">
            <v>165.88578361323965</v>
          </cell>
          <cell r="I4">
            <v>251.8013866068208</v>
          </cell>
          <cell r="J4">
            <v>479.14078467518937</v>
          </cell>
        </row>
      </sheetData>
      <sheetData sheetId="4">
        <row r="7">
          <cell r="B7">
            <v>70.801485</v>
          </cell>
          <cell r="C7">
            <v>68.354373</v>
          </cell>
          <cell r="D7">
            <v>115.268538</v>
          </cell>
          <cell r="E7">
            <v>74.436207</v>
          </cell>
          <cell r="F7">
            <v>289.429737</v>
          </cell>
          <cell r="G7">
            <v>335.984996</v>
          </cell>
          <cell r="H7">
            <v>350.069105</v>
          </cell>
          <cell r="I7">
            <v>540.114446</v>
          </cell>
          <cell r="J7">
            <v>308.780721</v>
          </cell>
        </row>
      </sheetData>
      <sheetData sheetId="6">
        <row r="1">
          <cell r="C1">
            <v>130432</v>
          </cell>
        </row>
        <row r="6">
          <cell r="B6">
            <v>90000</v>
          </cell>
        </row>
        <row r="7">
          <cell r="B7">
            <v>9500</v>
          </cell>
        </row>
        <row r="8">
          <cell r="B8">
            <v>4388</v>
          </cell>
        </row>
        <row r="9">
          <cell r="B9">
            <v>3750</v>
          </cell>
        </row>
        <row r="10">
          <cell r="B10">
            <v>3300</v>
          </cell>
        </row>
        <row r="11">
          <cell r="B11">
            <v>2922</v>
          </cell>
        </row>
        <row r="12">
          <cell r="B12">
            <v>2417</v>
          </cell>
        </row>
        <row r="13">
          <cell r="B13">
            <v>1790</v>
          </cell>
        </row>
        <row r="15">
          <cell r="B15">
            <v>1550</v>
          </cell>
        </row>
        <row r="16">
          <cell r="B16">
            <v>1537</v>
          </cell>
        </row>
        <row r="18">
          <cell r="B18">
            <v>750</v>
          </cell>
        </row>
        <row r="20">
          <cell r="B20">
            <v>507</v>
          </cell>
        </row>
        <row r="21">
          <cell r="B21">
            <v>500</v>
          </cell>
        </row>
        <row r="22">
          <cell r="B22">
            <v>491</v>
          </cell>
        </row>
        <row r="23">
          <cell r="B23">
            <v>468</v>
          </cell>
        </row>
        <row r="24">
          <cell r="B24">
            <v>380</v>
          </cell>
        </row>
        <row r="25">
          <cell r="B25">
            <v>351</v>
          </cell>
        </row>
        <row r="29">
          <cell r="B29">
            <v>246</v>
          </cell>
        </row>
        <row r="30">
          <cell r="B30">
            <v>231</v>
          </cell>
        </row>
        <row r="31">
          <cell r="B31">
            <v>220</v>
          </cell>
        </row>
        <row r="33">
          <cell r="B33">
            <v>155</v>
          </cell>
        </row>
        <row r="34">
          <cell r="B34">
            <v>150</v>
          </cell>
        </row>
        <row r="35">
          <cell r="B35">
            <v>136</v>
          </cell>
        </row>
        <row r="37">
          <cell r="B37">
            <v>80</v>
          </cell>
        </row>
        <row r="43">
          <cell r="B43">
            <v>36</v>
          </cell>
        </row>
        <row r="44">
          <cell r="B44">
            <v>35</v>
          </cell>
        </row>
        <row r="47">
          <cell r="B47">
            <v>26</v>
          </cell>
        </row>
        <row r="48">
          <cell r="B48">
            <v>9</v>
          </cell>
        </row>
        <row r="49">
          <cell r="B49">
            <v>7</v>
          </cell>
        </row>
        <row r="50">
          <cell r="B50">
            <v>5</v>
          </cell>
        </row>
        <row r="51">
          <cell r="B51">
            <v>3</v>
          </cell>
        </row>
      </sheetData>
      <sheetData sheetId="8">
        <row r="6">
          <cell r="Z6">
            <v>1.841308</v>
          </cell>
          <cell r="AC6">
            <v>1.312783</v>
          </cell>
          <cell r="AD6">
            <v>1.327917</v>
          </cell>
          <cell r="AE6">
            <v>1.195233</v>
          </cell>
          <cell r="AF6">
            <v>1.1975</v>
          </cell>
          <cell r="AG6">
            <v>1.282175</v>
          </cell>
        </row>
        <row r="7">
          <cell r="Y7">
            <v>1.548408</v>
          </cell>
          <cell r="Z7">
            <v>1.570042</v>
          </cell>
          <cell r="AA7">
            <v>1.400358</v>
          </cell>
          <cell r="AB7">
            <v>1.301092</v>
          </cell>
          <cell r="AC7">
            <v>1.211708</v>
          </cell>
          <cell r="AD7">
            <v>1.134317</v>
          </cell>
          <cell r="AE7">
            <v>1.074242</v>
          </cell>
          <cell r="AG7">
            <v>1.141383</v>
          </cell>
        </row>
        <row r="24">
          <cell r="Y24">
            <v>0.6942917</v>
          </cell>
          <cell r="Z24">
            <v>0.66655</v>
          </cell>
          <cell r="AA24">
            <v>0.6122833</v>
          </cell>
          <cell r="AB24">
            <v>0.5457583</v>
          </cell>
          <cell r="AC24">
            <v>0.5501167</v>
          </cell>
          <cell r="AD24">
            <v>0.5433916</v>
          </cell>
          <cell r="AE24">
            <v>0.4997417</v>
          </cell>
          <cell r="AF24">
            <v>0.5460917</v>
          </cell>
          <cell r="AG24">
            <v>0.6413333</v>
          </cell>
        </row>
        <row r="25">
          <cell r="Z25">
            <v>1.061067</v>
          </cell>
          <cell r="AA25">
            <v>0.8851584</v>
          </cell>
          <cell r="AB25">
            <v>0.8048583</v>
          </cell>
          <cell r="AC25">
            <v>0.804625</v>
          </cell>
          <cell r="AD25">
            <v>0.7967</v>
          </cell>
          <cell r="AE25">
            <v>0.7304916</v>
          </cell>
          <cell r="AF25">
            <v>0.683975</v>
          </cell>
          <cell r="AG25">
            <v>0.7198083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HOD NOTE"/>
      <sheetName val="top recipients of total ha 2009"/>
      <sheetName val="concentration 2008 and 2009"/>
      <sheetName val="changes in recipient total ha"/>
      <sheetName val="total recipient ha by country"/>
      <sheetName val="share recipient ha by country"/>
      <sheetName val="total recipient ha per capita"/>
      <sheetName val="total ha as share total oda"/>
      <sheetName val="total ha constant"/>
      <sheetName val="total ha current"/>
      <sheetName val="bilat ha constant"/>
      <sheetName val="unhcr oda constant"/>
      <sheetName val="unhcr constant ha"/>
      <sheetName val="unrwa oda constant"/>
      <sheetName val="unrwa constant ha"/>
      <sheetName val="wfp oda constant"/>
      <sheetName val="wfp oda current adj"/>
      <sheetName val="wfp oda constant adj"/>
      <sheetName val="wfp ha constant"/>
      <sheetName val="bilat ha current"/>
      <sheetName val="unhcr oda current"/>
      <sheetName val="unrwa oda current"/>
      <sheetName val="wfp oda current"/>
      <sheetName val="wfp ha current"/>
      <sheetName val="unhcr current ha"/>
      <sheetName val="unrwa current ha"/>
      <sheetName val="CERF recipients (DAC)"/>
      <sheetName val="WFP HA calc"/>
      <sheetName val="oda recipients ex debt"/>
      <sheetName val="recipient population"/>
      <sheetName val="Sheet4"/>
    </sheetNames>
    <sheetDataSet>
      <sheetData sheetId="8">
        <row r="79">
          <cell r="Y79">
            <v>541.6329324880578</v>
          </cell>
        </row>
        <row r="82">
          <cell r="Y82">
            <v>1332.1672179670402</v>
          </cell>
        </row>
        <row r="162">
          <cell r="Y162">
            <v>592.4361547659373</v>
          </cell>
        </row>
        <row r="186">
          <cell r="Y186">
            <v>497.258058935527</v>
          </cell>
        </row>
        <row r="192">
          <cell r="Y192">
            <v>1219.313229360893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ivot"/>
      <sheetName val="2009-FTS-coded"/>
      <sheetName val="Sheet3"/>
      <sheetName val="Sheet1"/>
      <sheetName val="Sheet5"/>
      <sheetName val="Sheet6"/>
    </sheetNames>
    <sheetDataSet>
      <sheetData sheetId="4">
        <row r="3">
          <cell r="A3" t="str">
            <v>Column Labels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_-_11-01-16_07-21-53230 1"/>
      <sheetName val="Summary"/>
    </sheetNames>
    <sheetDataSet>
      <sheetData sheetId="0">
        <row r="6">
          <cell r="D6">
            <v>125615691</v>
          </cell>
          <cell r="E6">
            <v>617225746</v>
          </cell>
          <cell r="F6">
            <v>768196379</v>
          </cell>
          <cell r="G6">
            <v>3731651</v>
          </cell>
          <cell r="I6">
            <v>0</v>
          </cell>
          <cell r="J6">
            <v>0</v>
          </cell>
          <cell r="K6">
            <v>4529863</v>
          </cell>
        </row>
        <row r="7">
          <cell r="C7">
            <v>30954433</v>
          </cell>
          <cell r="D7">
            <v>38989170</v>
          </cell>
          <cell r="E7">
            <v>24913291</v>
          </cell>
          <cell r="F7">
            <v>37580810</v>
          </cell>
          <cell r="G7">
            <v>37768459</v>
          </cell>
          <cell r="K7">
            <v>211202455</v>
          </cell>
          <cell r="L7">
            <v>2038734</v>
          </cell>
        </row>
        <row r="8">
          <cell r="E8">
            <v>27926242</v>
          </cell>
          <cell r="F8">
            <v>9000000</v>
          </cell>
          <cell r="G8">
            <v>151446750</v>
          </cell>
          <cell r="H8">
            <v>7337043</v>
          </cell>
          <cell r="I8">
            <v>62773960</v>
          </cell>
          <cell r="J8">
            <v>4502555</v>
          </cell>
          <cell r="K8">
            <v>7443757</v>
          </cell>
        </row>
        <row r="9">
          <cell r="C9">
            <v>7000000</v>
          </cell>
          <cell r="D9">
            <v>926079</v>
          </cell>
          <cell r="E9">
            <v>1660000</v>
          </cell>
          <cell r="F9">
            <v>5860000</v>
          </cell>
          <cell r="G9">
            <v>3990000</v>
          </cell>
          <cell r="H9">
            <v>1097000</v>
          </cell>
          <cell r="I9">
            <v>25841480</v>
          </cell>
          <cell r="J9">
            <v>8200870</v>
          </cell>
          <cell r="K9">
            <v>192201705</v>
          </cell>
        </row>
        <row r="10">
          <cell r="E10">
            <v>74000000</v>
          </cell>
          <cell r="F10">
            <v>35000000</v>
          </cell>
        </row>
        <row r="11">
          <cell r="D11">
            <v>10150000</v>
          </cell>
          <cell r="E11">
            <v>9476302</v>
          </cell>
          <cell r="F11">
            <v>33842652</v>
          </cell>
          <cell r="G11">
            <v>3413644</v>
          </cell>
          <cell r="H11">
            <v>7686000</v>
          </cell>
          <cell r="I11">
            <v>16980000</v>
          </cell>
        </row>
        <row r="12">
          <cell r="C12">
            <v>4620000</v>
          </cell>
          <cell r="D12">
            <v>4489806</v>
          </cell>
          <cell r="E12">
            <v>647400</v>
          </cell>
          <cell r="F12">
            <v>15232188</v>
          </cell>
          <cell r="G12">
            <v>10023266</v>
          </cell>
          <cell r="H12">
            <v>7295418</v>
          </cell>
          <cell r="I12">
            <v>5694589</v>
          </cell>
          <cell r="J12">
            <v>27991524</v>
          </cell>
          <cell r="K12">
            <v>0</v>
          </cell>
          <cell r="L12">
            <v>0</v>
          </cell>
        </row>
        <row r="13">
          <cell r="D13">
            <v>14880000</v>
          </cell>
          <cell r="E13">
            <v>2394000</v>
          </cell>
          <cell r="F13">
            <v>3912726</v>
          </cell>
          <cell r="G13">
            <v>20075306</v>
          </cell>
          <cell r="H13">
            <v>4245206</v>
          </cell>
          <cell r="I13">
            <v>12859791</v>
          </cell>
          <cell r="J13">
            <v>11409465</v>
          </cell>
          <cell r="K13">
            <v>3913605</v>
          </cell>
        </row>
        <row r="14">
          <cell r="C14">
            <v>230280</v>
          </cell>
          <cell r="D14">
            <v>500000</v>
          </cell>
          <cell r="E14">
            <v>5828166</v>
          </cell>
          <cell r="F14">
            <v>12679039</v>
          </cell>
          <cell r="G14">
            <v>9390000</v>
          </cell>
          <cell r="H14">
            <v>6130000</v>
          </cell>
          <cell r="I14">
            <v>5683698</v>
          </cell>
          <cell r="J14">
            <v>2107199</v>
          </cell>
          <cell r="K14">
            <v>906659</v>
          </cell>
        </row>
        <row r="15">
          <cell r="D15">
            <v>1709400</v>
          </cell>
          <cell r="E15">
            <v>12671878</v>
          </cell>
          <cell r="F15">
            <v>14414208</v>
          </cell>
          <cell r="G15">
            <v>3322151</v>
          </cell>
          <cell r="H15">
            <v>472068</v>
          </cell>
          <cell r="I15">
            <v>200000</v>
          </cell>
          <cell r="J15">
            <v>10235538</v>
          </cell>
        </row>
        <row r="16">
          <cell r="C16">
            <v>992076</v>
          </cell>
          <cell r="D16">
            <v>1434655</v>
          </cell>
          <cell r="E16">
            <v>2724200</v>
          </cell>
          <cell r="F16">
            <v>3211491</v>
          </cell>
          <cell r="G16">
            <v>3547965</v>
          </cell>
          <cell r="H16">
            <v>11341624</v>
          </cell>
          <cell r="I16">
            <v>10652920</v>
          </cell>
          <cell r="J16">
            <v>2225080</v>
          </cell>
          <cell r="K16">
            <v>0</v>
          </cell>
        </row>
        <row r="17">
          <cell r="D17">
            <v>9800000</v>
          </cell>
          <cell r="E17">
            <v>3448539</v>
          </cell>
          <cell r="F17">
            <v>9892459</v>
          </cell>
          <cell r="G17">
            <v>2844000</v>
          </cell>
        </row>
        <row r="18">
          <cell r="F18">
            <v>10500000</v>
          </cell>
          <cell r="G18">
            <v>11000000</v>
          </cell>
          <cell r="H18">
            <v>0</v>
          </cell>
          <cell r="I18">
            <v>2020492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5194667</v>
          </cell>
          <cell r="E19">
            <v>3808630</v>
          </cell>
          <cell r="G19">
            <v>2619038</v>
          </cell>
          <cell r="I19">
            <v>2249887</v>
          </cell>
          <cell r="J19">
            <v>5620340</v>
          </cell>
          <cell r="K19">
            <v>1136364</v>
          </cell>
          <cell r="L19">
            <v>1285842</v>
          </cell>
        </row>
        <row r="20">
          <cell r="E20">
            <v>799250</v>
          </cell>
          <cell r="G20">
            <v>6825608</v>
          </cell>
          <cell r="I20">
            <v>6810000</v>
          </cell>
        </row>
        <row r="21">
          <cell r="D21">
            <v>5708653</v>
          </cell>
          <cell r="E21">
            <v>0</v>
          </cell>
          <cell r="F21">
            <v>2414664</v>
          </cell>
          <cell r="G21">
            <v>157762</v>
          </cell>
          <cell r="H21">
            <v>4170000</v>
          </cell>
          <cell r="I21">
            <v>340000</v>
          </cell>
        </row>
        <row r="22">
          <cell r="E22">
            <v>2942042</v>
          </cell>
          <cell r="F22">
            <v>2906831</v>
          </cell>
          <cell r="G22">
            <v>6526661</v>
          </cell>
        </row>
        <row r="23">
          <cell r="F23">
            <v>4428021</v>
          </cell>
          <cell r="I23">
            <v>2770000</v>
          </cell>
          <cell r="J23">
            <v>880000</v>
          </cell>
          <cell r="K23">
            <v>400000</v>
          </cell>
          <cell r="L23">
            <v>1408314</v>
          </cell>
        </row>
        <row r="24">
          <cell r="E24">
            <v>1290000</v>
          </cell>
          <cell r="F24">
            <v>403714</v>
          </cell>
          <cell r="G24">
            <v>3700714</v>
          </cell>
          <cell r="H24">
            <v>2142857</v>
          </cell>
          <cell r="I24">
            <v>2340000</v>
          </cell>
        </row>
        <row r="25">
          <cell r="D25">
            <v>0</v>
          </cell>
          <cell r="E25">
            <v>4314000</v>
          </cell>
          <cell r="F25">
            <v>850000</v>
          </cell>
          <cell r="G25">
            <v>1000000</v>
          </cell>
          <cell r="H25">
            <v>600000</v>
          </cell>
          <cell r="I25">
            <v>1050000</v>
          </cell>
        </row>
        <row r="26">
          <cell r="E26">
            <v>6680805</v>
          </cell>
          <cell r="F26">
            <v>308000</v>
          </cell>
          <cell r="G26">
            <v>0</v>
          </cell>
          <cell r="I26">
            <v>45718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6067784</v>
          </cell>
        </row>
        <row r="28">
          <cell r="K28">
            <v>6000000</v>
          </cell>
        </row>
        <row r="29">
          <cell r="C29">
            <v>259700</v>
          </cell>
          <cell r="F29">
            <v>840970</v>
          </cell>
          <cell r="G29">
            <v>340000</v>
          </cell>
          <cell r="J29">
            <v>0</v>
          </cell>
          <cell r="K29">
            <v>4375000</v>
          </cell>
        </row>
        <row r="30">
          <cell r="J30">
            <v>2127999</v>
          </cell>
          <cell r="K30">
            <v>3191999</v>
          </cell>
        </row>
        <row r="31">
          <cell r="I31">
            <v>1329999</v>
          </cell>
          <cell r="J31">
            <v>1994999</v>
          </cell>
          <cell r="K31">
            <v>1994999</v>
          </cell>
        </row>
        <row r="32">
          <cell r="D32">
            <v>1000000</v>
          </cell>
          <cell r="G32">
            <v>772264</v>
          </cell>
          <cell r="H32">
            <v>0</v>
          </cell>
          <cell r="L32">
            <v>3242250</v>
          </cell>
        </row>
        <row r="33">
          <cell r="K33">
            <v>4748138</v>
          </cell>
        </row>
        <row r="34">
          <cell r="E34">
            <v>4100000</v>
          </cell>
          <cell r="I34">
            <v>250000</v>
          </cell>
        </row>
        <row r="35">
          <cell r="D35">
            <v>18000</v>
          </cell>
          <cell r="F35">
            <v>200000</v>
          </cell>
          <cell r="G35">
            <v>2150000</v>
          </cell>
          <cell r="H35">
            <v>500000</v>
          </cell>
          <cell r="J35">
            <v>400000</v>
          </cell>
          <cell r="K35">
            <v>250000</v>
          </cell>
          <cell r="L35">
            <v>250000</v>
          </cell>
        </row>
        <row r="36">
          <cell r="B36">
            <v>747000</v>
          </cell>
          <cell r="C36">
            <v>1367167</v>
          </cell>
          <cell r="D36">
            <v>900000</v>
          </cell>
          <cell r="E36">
            <v>220000</v>
          </cell>
          <cell r="H36">
            <v>40626</v>
          </cell>
        </row>
        <row r="37">
          <cell r="C37">
            <v>1049600</v>
          </cell>
          <cell r="D37">
            <v>222634</v>
          </cell>
          <cell r="F37">
            <v>478618</v>
          </cell>
          <cell r="H37">
            <v>1510000</v>
          </cell>
        </row>
        <row r="39">
          <cell r="E39">
            <v>1595000</v>
          </cell>
          <cell r="G39">
            <v>110000</v>
          </cell>
          <cell r="I39">
            <v>775000</v>
          </cell>
          <cell r="K39">
            <v>0</v>
          </cell>
        </row>
        <row r="41">
          <cell r="E41">
            <v>2354073</v>
          </cell>
        </row>
        <row r="42">
          <cell r="J42">
            <v>0</v>
          </cell>
          <cell r="K42">
            <v>2314301</v>
          </cell>
        </row>
        <row r="43">
          <cell r="F43">
            <v>750000</v>
          </cell>
          <cell r="J43">
            <v>1470000</v>
          </cell>
        </row>
        <row r="44">
          <cell r="J44">
            <v>1523676</v>
          </cell>
          <cell r="K44">
            <v>260616</v>
          </cell>
        </row>
        <row r="45">
          <cell r="D45">
            <v>880626</v>
          </cell>
          <cell r="F45">
            <v>717071</v>
          </cell>
        </row>
        <row r="46">
          <cell r="F46">
            <v>30000</v>
          </cell>
          <cell r="G46">
            <v>1340000</v>
          </cell>
        </row>
        <row r="47">
          <cell r="D47">
            <v>34379</v>
          </cell>
          <cell r="E47">
            <v>1095766</v>
          </cell>
          <cell r="G47">
            <v>25000</v>
          </cell>
        </row>
        <row r="48">
          <cell r="E48">
            <v>160400</v>
          </cell>
          <cell r="F48">
            <v>208020</v>
          </cell>
          <cell r="I48">
            <v>0</v>
          </cell>
          <cell r="J48">
            <v>764099</v>
          </cell>
        </row>
        <row r="49">
          <cell r="G49">
            <v>1108000</v>
          </cell>
        </row>
        <row r="50">
          <cell r="J50">
            <v>825541</v>
          </cell>
          <cell r="K50">
            <v>121583</v>
          </cell>
        </row>
        <row r="51">
          <cell r="E51">
            <v>630000</v>
          </cell>
        </row>
        <row r="52">
          <cell r="F52">
            <v>358858</v>
          </cell>
          <cell r="G52">
            <v>57000</v>
          </cell>
        </row>
        <row r="54">
          <cell r="J54">
            <v>200000</v>
          </cell>
          <cell r="K54">
            <v>130000</v>
          </cell>
        </row>
        <row r="57">
          <cell r="E57">
            <v>315000</v>
          </cell>
        </row>
        <row r="58">
          <cell r="F58">
            <v>300000</v>
          </cell>
        </row>
        <row r="59">
          <cell r="D59">
            <v>293000</v>
          </cell>
        </row>
        <row r="61">
          <cell r="E61">
            <v>184649</v>
          </cell>
        </row>
        <row r="63">
          <cell r="I63">
            <v>20000</v>
          </cell>
          <cell r="K63">
            <v>92800</v>
          </cell>
        </row>
        <row r="65">
          <cell r="D65">
            <v>10750</v>
          </cell>
          <cell r="H65">
            <v>0</v>
          </cell>
        </row>
        <row r="66">
          <cell r="E66">
            <v>9000</v>
          </cell>
        </row>
        <row r="67">
          <cell r="J67">
            <v>0</v>
          </cell>
          <cell r="K67">
            <v>6473</v>
          </cell>
        </row>
        <row r="70">
          <cell r="C70">
            <v>46473256</v>
          </cell>
          <cell r="D70">
            <v>223876911</v>
          </cell>
          <cell r="E70">
            <v>822707763</v>
          </cell>
          <cell r="F70">
            <v>975489533</v>
          </cell>
          <cell r="G70">
            <v>288824180</v>
          </cell>
          <cell r="H70">
            <v>54567842</v>
          </cell>
          <cell r="I70">
            <v>160687534</v>
          </cell>
          <cell r="J70">
            <v>82478885</v>
          </cell>
          <cell r="K70">
            <v>445213844</v>
          </cell>
          <cell r="L70">
            <v>8225140</v>
          </cell>
        </row>
      </sheetData>
      <sheetData sheetId="1">
        <row r="3">
          <cell r="B3">
            <v>0</v>
          </cell>
          <cell r="C3">
            <v>135415691</v>
          </cell>
          <cell r="D3">
            <v>651269600</v>
          </cell>
          <cell r="E3">
            <v>787088838</v>
          </cell>
          <cell r="F3">
            <v>158022401</v>
          </cell>
          <cell r="G3">
            <v>7337043</v>
          </cell>
          <cell r="H3">
            <v>62773960</v>
          </cell>
          <cell r="I3">
            <v>4502555</v>
          </cell>
          <cell r="J3">
            <v>11973620</v>
          </cell>
          <cell r="K3">
            <v>0</v>
          </cell>
        </row>
        <row r="4">
          <cell r="B4">
            <v>30954433</v>
          </cell>
          <cell r="C4">
            <v>38989170</v>
          </cell>
          <cell r="D4">
            <v>24913291</v>
          </cell>
          <cell r="E4">
            <v>37580810</v>
          </cell>
          <cell r="F4">
            <v>37768459</v>
          </cell>
          <cell r="G4">
            <v>0</v>
          </cell>
          <cell r="H4">
            <v>0</v>
          </cell>
          <cell r="I4">
            <v>0</v>
          </cell>
          <cell r="J4">
            <v>211208928</v>
          </cell>
          <cell r="K4">
            <v>2038734</v>
          </cell>
        </row>
        <row r="5">
          <cell r="B5">
            <v>7000000</v>
          </cell>
          <cell r="C5">
            <v>926079</v>
          </cell>
          <cell r="D5">
            <v>1660000</v>
          </cell>
          <cell r="E5">
            <v>5860000</v>
          </cell>
          <cell r="F5">
            <v>3990000</v>
          </cell>
          <cell r="G5">
            <v>1097000</v>
          </cell>
          <cell r="H5">
            <v>25841480</v>
          </cell>
          <cell r="I5">
            <v>8200870</v>
          </cell>
          <cell r="J5">
            <v>194516006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74000000</v>
          </cell>
          <cell r="E6">
            <v>35000000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747000</v>
          </cell>
          <cell r="C7">
            <v>11517167</v>
          </cell>
          <cell r="D7">
            <v>10376302</v>
          </cell>
          <cell r="E7">
            <v>34062652</v>
          </cell>
          <cell r="F7">
            <v>3413644</v>
          </cell>
          <cell r="G7">
            <v>7686000</v>
          </cell>
          <cell r="H7">
            <v>17020626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4620000</v>
          </cell>
          <cell r="C8">
            <v>4489806</v>
          </cell>
          <cell r="D8">
            <v>647400</v>
          </cell>
          <cell r="E8">
            <v>15232188</v>
          </cell>
          <cell r="F8">
            <v>10023266</v>
          </cell>
          <cell r="G8">
            <v>7295418</v>
          </cell>
          <cell r="H8">
            <v>5694589</v>
          </cell>
          <cell r="I8">
            <v>27991524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14880000</v>
          </cell>
          <cell r="D9">
            <v>2394000</v>
          </cell>
          <cell r="E9">
            <v>3912726</v>
          </cell>
          <cell r="F9">
            <v>20075306</v>
          </cell>
          <cell r="G9">
            <v>4245206</v>
          </cell>
          <cell r="H9">
            <v>12859791</v>
          </cell>
          <cell r="I9">
            <v>11409465</v>
          </cell>
          <cell r="J9">
            <v>3913605</v>
          </cell>
          <cell r="K9">
            <v>0</v>
          </cell>
        </row>
        <row r="10">
          <cell r="B10">
            <v>230280</v>
          </cell>
          <cell r="C10">
            <v>500000</v>
          </cell>
          <cell r="D10">
            <v>6627416</v>
          </cell>
          <cell r="E10">
            <v>12679039</v>
          </cell>
          <cell r="F10">
            <v>16215608</v>
          </cell>
          <cell r="G10">
            <v>6130000</v>
          </cell>
          <cell r="H10">
            <v>12493698</v>
          </cell>
          <cell r="I10">
            <v>2107199</v>
          </cell>
          <cell r="J10">
            <v>906659</v>
          </cell>
          <cell r="K10">
            <v>0</v>
          </cell>
        </row>
        <row r="11">
          <cell r="B11">
            <v>0</v>
          </cell>
          <cell r="C11">
            <v>1709400</v>
          </cell>
          <cell r="D11">
            <v>12671878</v>
          </cell>
          <cell r="E11">
            <v>14414208</v>
          </cell>
          <cell r="F11">
            <v>3322151</v>
          </cell>
          <cell r="G11">
            <v>472068</v>
          </cell>
          <cell r="H11">
            <v>200000</v>
          </cell>
          <cell r="I11">
            <v>10235538</v>
          </cell>
          <cell r="J11">
            <v>0</v>
          </cell>
          <cell r="K11">
            <v>0</v>
          </cell>
        </row>
        <row r="12">
          <cell r="B12">
            <v>992076</v>
          </cell>
          <cell r="C12">
            <v>1434655</v>
          </cell>
          <cell r="D12">
            <v>2724200</v>
          </cell>
          <cell r="E12">
            <v>3211491</v>
          </cell>
          <cell r="F12">
            <v>3547965</v>
          </cell>
          <cell r="G12">
            <v>11341624</v>
          </cell>
          <cell r="H12">
            <v>10652920</v>
          </cell>
          <cell r="I12">
            <v>2225080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10500000</v>
          </cell>
          <cell r="F13">
            <v>11000000</v>
          </cell>
          <cell r="G13">
            <v>0</v>
          </cell>
          <cell r="H13">
            <v>2020492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5194667</v>
          </cell>
          <cell r="D14">
            <v>3808630</v>
          </cell>
          <cell r="E14">
            <v>0</v>
          </cell>
          <cell r="F14">
            <v>2619038</v>
          </cell>
          <cell r="G14">
            <v>0</v>
          </cell>
          <cell r="H14">
            <v>2249887</v>
          </cell>
          <cell r="I14">
            <v>5620340</v>
          </cell>
          <cell r="J14">
            <v>1136364</v>
          </cell>
          <cell r="K14">
            <v>1285842</v>
          </cell>
        </row>
        <row r="15">
          <cell r="B15">
            <v>0</v>
          </cell>
          <cell r="C15">
            <v>0</v>
          </cell>
          <cell r="D15">
            <v>1290000</v>
          </cell>
          <cell r="E15">
            <v>403714</v>
          </cell>
          <cell r="F15">
            <v>3700714</v>
          </cell>
          <cell r="G15">
            <v>2142857</v>
          </cell>
          <cell r="H15">
            <v>3669999</v>
          </cell>
          <cell r="I15">
            <v>4122998</v>
          </cell>
          <cell r="J15">
            <v>5186998</v>
          </cell>
          <cell r="K15">
            <v>0</v>
          </cell>
        </row>
        <row r="16">
          <cell r="B16">
            <v>0</v>
          </cell>
          <cell r="C16">
            <v>5708653</v>
          </cell>
          <cell r="D16">
            <v>0</v>
          </cell>
          <cell r="E16">
            <v>2414664</v>
          </cell>
          <cell r="F16">
            <v>157762</v>
          </cell>
          <cell r="G16">
            <v>4170000</v>
          </cell>
          <cell r="H16">
            <v>340000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2942042</v>
          </cell>
          <cell r="E17">
            <v>2906831</v>
          </cell>
          <cell r="F17">
            <v>6526661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34379</v>
          </cell>
          <cell r="D18">
            <v>7348199</v>
          </cell>
          <cell r="E18">
            <v>30000</v>
          </cell>
          <cell r="F18">
            <v>2473000</v>
          </cell>
          <cell r="G18">
            <v>0</v>
          </cell>
          <cell r="H18">
            <v>0</v>
          </cell>
          <cell r="I18">
            <v>1723676</v>
          </cell>
          <cell r="J18">
            <v>390616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4428021</v>
          </cell>
          <cell r="F19">
            <v>0</v>
          </cell>
          <cell r="G19">
            <v>0</v>
          </cell>
          <cell r="H19">
            <v>2770000</v>
          </cell>
          <cell r="I19">
            <v>880000</v>
          </cell>
          <cell r="J19">
            <v>400000</v>
          </cell>
          <cell r="K19">
            <v>1408314</v>
          </cell>
        </row>
        <row r="20">
          <cell r="B20">
            <v>0</v>
          </cell>
          <cell r="C20">
            <v>0</v>
          </cell>
          <cell r="D20">
            <v>4314000</v>
          </cell>
          <cell r="E20">
            <v>850000</v>
          </cell>
          <cell r="F20">
            <v>1000000</v>
          </cell>
          <cell r="G20">
            <v>600000</v>
          </cell>
          <cell r="H20">
            <v>1050000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6680805</v>
          </cell>
          <cell r="E21">
            <v>308000</v>
          </cell>
          <cell r="F21">
            <v>0</v>
          </cell>
          <cell r="G21">
            <v>0</v>
          </cell>
          <cell r="H21">
            <v>45718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1595000</v>
          </cell>
          <cell r="E22">
            <v>0</v>
          </cell>
          <cell r="F22">
            <v>110000</v>
          </cell>
          <cell r="G22">
            <v>0</v>
          </cell>
          <cell r="H22">
            <v>775000</v>
          </cell>
          <cell r="I22">
            <v>0</v>
          </cell>
          <cell r="J22">
            <v>6000000</v>
          </cell>
          <cell r="K22">
            <v>0</v>
          </cell>
        </row>
        <row r="23">
          <cell r="B23">
            <v>259700</v>
          </cell>
          <cell r="C23">
            <v>0</v>
          </cell>
          <cell r="D23">
            <v>630000</v>
          </cell>
          <cell r="E23">
            <v>840970</v>
          </cell>
          <cell r="F23">
            <v>340000</v>
          </cell>
          <cell r="G23">
            <v>0</v>
          </cell>
          <cell r="H23">
            <v>0</v>
          </cell>
          <cell r="I23">
            <v>0</v>
          </cell>
          <cell r="J23">
            <v>4375000</v>
          </cell>
          <cell r="K23">
            <v>0</v>
          </cell>
        </row>
        <row r="24">
          <cell r="B24">
            <v>0</v>
          </cell>
          <cell r="C24">
            <v>1000000</v>
          </cell>
          <cell r="D24">
            <v>0</v>
          </cell>
          <cell r="E24">
            <v>0</v>
          </cell>
          <cell r="F24">
            <v>772264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3242250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4748138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4100000</v>
          </cell>
          <cell r="E26">
            <v>0</v>
          </cell>
          <cell r="F26">
            <v>0</v>
          </cell>
          <cell r="G26">
            <v>0</v>
          </cell>
          <cell r="H26">
            <v>250000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18000</v>
          </cell>
          <cell r="D27">
            <v>0</v>
          </cell>
          <cell r="E27">
            <v>200000</v>
          </cell>
          <cell r="F27">
            <v>2150000</v>
          </cell>
          <cell r="G27">
            <v>500000</v>
          </cell>
          <cell r="H27">
            <v>0</v>
          </cell>
          <cell r="I27">
            <v>400000</v>
          </cell>
          <cell r="J27">
            <v>250000</v>
          </cell>
          <cell r="K27">
            <v>250000</v>
          </cell>
        </row>
        <row r="28">
          <cell r="B28">
            <v>1049600</v>
          </cell>
          <cell r="C28">
            <v>222634</v>
          </cell>
          <cell r="D28">
            <v>0</v>
          </cell>
          <cell r="E28">
            <v>478618</v>
          </cell>
          <cell r="F28">
            <v>0</v>
          </cell>
          <cell r="G28">
            <v>1510000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750000</v>
          </cell>
          <cell r="F29">
            <v>0</v>
          </cell>
          <cell r="G29">
            <v>0</v>
          </cell>
          <cell r="H29">
            <v>0</v>
          </cell>
          <cell r="I29">
            <v>1470000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880626</v>
          </cell>
          <cell r="D30">
            <v>0</v>
          </cell>
          <cell r="E30">
            <v>717071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160400</v>
          </cell>
          <cell r="E31">
            <v>208020</v>
          </cell>
          <cell r="F31">
            <v>0</v>
          </cell>
          <cell r="G31">
            <v>0</v>
          </cell>
          <cell r="H31">
            <v>0</v>
          </cell>
          <cell r="I31">
            <v>764099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825541</v>
          </cell>
          <cell r="J32">
            <v>121583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658858</v>
          </cell>
          <cell r="F33">
            <v>57000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293000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20000</v>
          </cell>
          <cell r="I35">
            <v>0</v>
          </cell>
          <cell r="J35">
            <v>92800</v>
          </cell>
          <cell r="K35">
            <v>0</v>
          </cell>
        </row>
        <row r="36">
          <cell r="B36">
            <v>0</v>
          </cell>
          <cell r="C36">
            <v>10750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9000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54">
          <cell r="A54" t="str">
            <v>United States</v>
          </cell>
          <cell r="B54">
            <v>1815.390303</v>
          </cell>
        </row>
        <row r="55">
          <cell r="A55" t="str">
            <v>Japan</v>
          </cell>
          <cell r="B55">
            <v>305.39703425000005</v>
          </cell>
        </row>
        <row r="56">
          <cell r="A56" t="str">
            <v>Germany</v>
          </cell>
          <cell r="B56">
            <v>195.21243349999997</v>
          </cell>
        </row>
        <row r="57">
          <cell r="A57" t="str">
            <v>Russia</v>
          </cell>
          <cell r="B57">
            <v>109</v>
          </cell>
        </row>
        <row r="58">
          <cell r="A58" t="str">
            <v>European Commision</v>
          </cell>
          <cell r="B58">
            <v>84.263141</v>
          </cell>
        </row>
        <row r="59">
          <cell r="A59" t="str">
            <v>Government of Afghanistan</v>
          </cell>
          <cell r="B59">
            <v>23.520492</v>
          </cell>
        </row>
        <row r="60">
          <cell r="A60" t="str">
            <v>Other donors</v>
          </cell>
          <cell r="B60">
            <v>421.3779412500003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urity-non-ODA"/>
      <sheetName val="UK-non-ODA"/>
      <sheetName val="PRT-DAD"/>
      <sheetName val="DAD-download"/>
      <sheetName val="ANA-TF"/>
      <sheetName val="Exchange-rates"/>
      <sheetName val="DAC"/>
    </sheetNames>
    <sheetDataSet>
      <sheetData sheetId="1">
        <row r="9">
          <cell r="L9">
            <v>0.3633763365636583</v>
          </cell>
        </row>
      </sheetData>
      <sheetData sheetId="4">
        <row r="20">
          <cell r="D20">
            <v>35.31796922402135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S-reconstruction-aid"/>
      <sheetName val="Sheet1"/>
    </sheetNames>
    <sheetDataSet>
      <sheetData sheetId="0">
        <row r="40">
          <cell r="B40">
            <v>15663.93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revenues"/>
      <sheetName val="Informal-revenues"/>
      <sheetName val="Remittances"/>
      <sheetName val="World-Ec-outlook-Apr-2010"/>
      <sheetName val="Government-revenues"/>
      <sheetName val="FDI"/>
    </sheetNames>
    <sheetDataSet>
      <sheetData sheetId="1">
        <row r="6">
          <cell r="D6">
            <v>2.54</v>
          </cell>
          <cell r="E6">
            <v>2.3</v>
          </cell>
          <cell r="F6">
            <v>2.8</v>
          </cell>
          <cell r="G6">
            <v>2.7</v>
          </cell>
          <cell r="H6">
            <v>3.1</v>
          </cell>
          <cell r="I6">
            <v>4</v>
          </cell>
          <cell r="J6">
            <v>3.4</v>
          </cell>
          <cell r="K6">
            <v>2.8</v>
          </cell>
        </row>
      </sheetData>
      <sheetData sheetId="2">
        <row r="8">
          <cell r="D8">
            <v>0</v>
          </cell>
          <cell r="E8">
            <v>0</v>
          </cell>
          <cell r="F8">
            <v>1.4080000000000001</v>
          </cell>
          <cell r="G8">
            <v>2.0504000000000002</v>
          </cell>
          <cell r="H8">
            <v>2.4992</v>
          </cell>
          <cell r="I8">
            <v>3.4584</v>
          </cell>
          <cell r="J8">
            <v>4.0304</v>
          </cell>
          <cell r="K8">
            <v>3.1152</v>
          </cell>
          <cell r="L8">
            <v>3.2296000000000005</v>
          </cell>
        </row>
      </sheetData>
      <sheetData sheetId="4">
        <row r="5">
          <cell r="D5">
            <v>0.13119999999999998</v>
          </cell>
          <cell r="E5">
            <v>0.207</v>
          </cell>
          <cell r="F5">
            <v>0.27</v>
          </cell>
          <cell r="G5">
            <v>0.3796</v>
          </cell>
          <cell r="H5">
            <v>0.5775</v>
          </cell>
          <cell r="I5">
            <v>0.6693</v>
          </cell>
          <cell r="J5">
            <v>0.8142000000000001</v>
          </cell>
          <cell r="K5">
            <v>1.2905</v>
          </cell>
          <cell r="L5">
            <v>1.5936000000000001</v>
          </cell>
        </row>
      </sheetData>
      <sheetData sheetId="5">
        <row r="8">
          <cell r="AH8">
            <v>50</v>
          </cell>
          <cell r="AI8">
            <v>57.8</v>
          </cell>
          <cell r="AJ8">
            <v>186.9</v>
          </cell>
          <cell r="AK8">
            <v>271</v>
          </cell>
          <cell r="AL8">
            <v>238</v>
          </cell>
          <cell r="AM8">
            <v>243</v>
          </cell>
          <cell r="AN8">
            <v>300</v>
          </cell>
          <cell r="AO8">
            <v>185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ivot"/>
      <sheetName val="database_of_security_incidents("/>
      <sheetName val="Civilian_casualties"/>
    </sheetNames>
    <sheetDataSet>
      <sheetData sheetId="0">
        <row r="3">
          <cell r="B3" t="str">
            <v>Nationals affected</v>
          </cell>
          <cell r="C3" t="str">
            <v>Internationals affected</v>
          </cell>
          <cell r="D3" t="str">
            <v>Total humanitarian workers affected</v>
          </cell>
        </row>
        <row r="4">
          <cell r="A4">
            <v>2000</v>
          </cell>
          <cell r="B4">
            <v>9</v>
          </cell>
          <cell r="C4">
            <v>0</v>
          </cell>
          <cell r="D4">
            <v>9</v>
          </cell>
        </row>
        <row r="5">
          <cell r="A5">
            <v>2001</v>
          </cell>
          <cell r="B5">
            <v>6</v>
          </cell>
          <cell r="C5">
            <v>0</v>
          </cell>
          <cell r="D5">
            <v>6</v>
          </cell>
        </row>
        <row r="6">
          <cell r="A6">
            <v>2002</v>
          </cell>
          <cell r="B6">
            <v>7</v>
          </cell>
          <cell r="C6">
            <v>1</v>
          </cell>
          <cell r="D6">
            <v>8</v>
          </cell>
        </row>
        <row r="7">
          <cell r="A7">
            <v>2003</v>
          </cell>
          <cell r="B7">
            <v>20</v>
          </cell>
          <cell r="C7">
            <v>2</v>
          </cell>
          <cell r="D7">
            <v>22</v>
          </cell>
        </row>
        <row r="8">
          <cell r="A8">
            <v>2004</v>
          </cell>
          <cell r="B8">
            <v>36</v>
          </cell>
          <cell r="C8">
            <v>4</v>
          </cell>
          <cell r="D8">
            <v>40</v>
          </cell>
        </row>
        <row r="9">
          <cell r="A9">
            <v>2005</v>
          </cell>
          <cell r="B9">
            <v>32</v>
          </cell>
          <cell r="C9">
            <v>3</v>
          </cell>
          <cell r="D9">
            <v>35</v>
          </cell>
        </row>
        <row r="10">
          <cell r="A10">
            <v>2006</v>
          </cell>
          <cell r="B10">
            <v>54</v>
          </cell>
          <cell r="C10">
            <v>1</v>
          </cell>
          <cell r="D10">
            <v>55</v>
          </cell>
        </row>
        <row r="11">
          <cell r="A11">
            <v>2007</v>
          </cell>
          <cell r="B11">
            <v>36</v>
          </cell>
          <cell r="C11">
            <v>12</v>
          </cell>
          <cell r="D11">
            <v>48</v>
          </cell>
        </row>
        <row r="12">
          <cell r="A12">
            <v>2008</v>
          </cell>
          <cell r="B12">
            <v>50</v>
          </cell>
          <cell r="C12">
            <v>13</v>
          </cell>
          <cell r="D12">
            <v>63</v>
          </cell>
        </row>
        <row r="13">
          <cell r="A13">
            <v>2009</v>
          </cell>
          <cell r="B13">
            <v>46</v>
          </cell>
          <cell r="C13">
            <v>16</v>
          </cell>
          <cell r="D13">
            <v>62</v>
          </cell>
        </row>
        <row r="14">
          <cell r="A14">
            <v>2010</v>
          </cell>
          <cell r="B14">
            <v>76</v>
          </cell>
          <cell r="C14">
            <v>21</v>
          </cell>
          <cell r="D14">
            <v>97</v>
          </cell>
        </row>
      </sheetData>
      <sheetData sheetId="3">
        <row r="15">
          <cell r="G15">
            <v>684</v>
          </cell>
          <cell r="H15">
            <v>839</v>
          </cell>
          <cell r="I15">
            <v>818</v>
          </cell>
          <cell r="J15">
            <v>1300</v>
          </cell>
          <cell r="K15">
            <v>1054</v>
          </cell>
          <cell r="L15">
            <v>1358</v>
          </cell>
          <cell r="M15">
            <v>1271</v>
          </cell>
        </row>
        <row r="16">
          <cell r="G16" t="str">
            <v>Jan-Jun 2007</v>
          </cell>
          <cell r="H16" t="str">
            <v>Jul-Dec 2007</v>
          </cell>
          <cell r="I16" t="str">
            <v>Jan-Jun 2008</v>
          </cell>
          <cell r="J16" t="str">
            <v>Jul-Dec 2008</v>
          </cell>
          <cell r="K16" t="str">
            <v>Jan-Jun 2009</v>
          </cell>
          <cell r="L16" t="str">
            <v>Jul-Dec 2009</v>
          </cell>
          <cell r="M16" t="str">
            <v>Jan-Jun 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_-_11-01-05_10-13-45111 1"/>
      <sheetName val="PRT-DAD"/>
      <sheetName val="Security-non-ODA"/>
      <sheetName val="Sheet2"/>
      <sheetName val="Sheet3"/>
      <sheetName val="Sheet4"/>
    </sheetNames>
    <sheetDataSet>
      <sheetData sheetId="2">
        <row r="9">
          <cell r="B9">
            <v>16.06262430578768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ajor-resource-flows"/>
      <sheetName val="2.Aid-all-donors"/>
      <sheetName val="4.Af-global-aid-ranking"/>
      <sheetName val="6.ODA-per-capita"/>
      <sheetName val="Share-conflict-affected"/>
      <sheetName val="ODA-excl-debt-current"/>
      <sheetName val="ODA-excl-debt-constant"/>
      <sheetName val="Population"/>
      <sheetName val="ODA-global-recip-constant"/>
      <sheetName val="ODA-global-recip-current"/>
      <sheetName val="Sheet1"/>
    </sheetNames>
    <sheetDataSet>
      <sheetData sheetId="1">
        <row r="1"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</row>
        <row r="2">
          <cell r="A2" t="str">
            <v>Non-DAC countries</v>
          </cell>
          <cell r="B2">
            <v>0.08342653024999999</v>
          </cell>
          <cell r="C2">
            <v>0.19079550025</v>
          </cell>
          <cell r="D2">
            <v>0.15675441687500002</v>
          </cell>
          <cell r="E2">
            <v>0.19854401925</v>
          </cell>
          <cell r="F2">
            <v>0.17299772875000002</v>
          </cell>
          <cell r="G2">
            <v>0.180594997</v>
          </cell>
          <cell r="H2">
            <v>0.3635413213275</v>
          </cell>
          <cell r="I2">
            <v>0.24769288678</v>
          </cell>
        </row>
        <row r="3">
          <cell r="A3" t="str">
            <v>DAC countries</v>
          </cell>
          <cell r="B3">
            <v>0.9877</v>
          </cell>
          <cell r="C3">
            <v>1.22079</v>
          </cell>
          <cell r="D3">
            <v>1.7226</v>
          </cell>
          <cell r="E3">
            <v>2.17535</v>
          </cell>
          <cell r="F3">
            <v>2.40672</v>
          </cell>
          <cell r="G3">
            <v>2.9376100000000003</v>
          </cell>
          <cell r="H3">
            <v>3.9495500000000003</v>
          </cell>
          <cell r="I3">
            <v>4.9238800000000005</v>
          </cell>
        </row>
        <row r="4">
          <cell r="A4" t="str">
            <v>Multilateral agencies</v>
          </cell>
          <cell r="B4">
            <v>0.2905</v>
          </cell>
          <cell r="C4">
            <v>0.36278</v>
          </cell>
          <cell r="D4">
            <v>0.5503899999999999</v>
          </cell>
          <cell r="E4">
            <v>0.60393</v>
          </cell>
          <cell r="F4">
            <v>0.4732</v>
          </cell>
          <cell r="G4">
            <v>0.85099</v>
          </cell>
          <cell r="H4">
            <v>0.70227</v>
          </cell>
          <cell r="I4">
            <v>0.95194</v>
          </cell>
          <cell r="J4">
            <v>4.786</v>
          </cell>
        </row>
        <row r="5">
          <cell r="A5" t="str">
            <v>Total</v>
          </cell>
          <cell r="B5">
            <v>1.36162653025</v>
          </cell>
          <cell r="C5">
            <v>1.77436550025</v>
          </cell>
          <cell r="D5">
            <v>2.4297444168749998</v>
          </cell>
          <cell r="E5">
            <v>2.97782401925</v>
          </cell>
          <cell r="F5">
            <v>3.05291772875</v>
          </cell>
          <cell r="G5">
            <v>3.9691949970000002</v>
          </cell>
          <cell r="H5">
            <v>5.0153613213275</v>
          </cell>
          <cell r="I5">
            <v>6.12351288678</v>
          </cell>
          <cell r="J5">
            <v>26.704547400482497</v>
          </cell>
        </row>
      </sheetData>
      <sheetData sheetId="3">
        <row r="5">
          <cell r="C5">
            <v>-3</v>
          </cell>
          <cell r="D5">
            <v>-2</v>
          </cell>
          <cell r="E5">
            <v>-1</v>
          </cell>
          <cell r="F5">
            <v>0</v>
          </cell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</row>
        <row r="7">
          <cell r="A7" t="str">
            <v>Iraq</v>
          </cell>
        </row>
        <row r="8">
          <cell r="C8">
            <v>6.957528341050615</v>
          </cell>
          <cell r="D8">
            <v>8.449814358366353</v>
          </cell>
          <cell r="E8">
            <v>6.851801018696435</v>
          </cell>
          <cell r="F8">
            <v>103.78657936342212</v>
          </cell>
          <cell r="G8">
            <v>186.7250211623223</v>
          </cell>
          <cell r="H8">
            <v>315.2271753107587</v>
          </cell>
          <cell r="I8">
            <v>205.92442805876416</v>
          </cell>
          <cell r="J8">
            <v>153.20024215073883</v>
          </cell>
          <cell r="K8">
            <v>109.9327281569136</v>
          </cell>
        </row>
        <row r="9">
          <cell r="A9" t="str">
            <v>Afghanistan</v>
          </cell>
        </row>
        <row r="11">
          <cell r="C11">
            <v>12.423650010635821</v>
          </cell>
          <cell r="D11">
            <v>10.658175566183154</v>
          </cell>
          <cell r="E11">
            <v>11.208467955827748</v>
          </cell>
          <cell r="F11">
            <v>34.06239874091561</v>
          </cell>
          <cell r="G11">
            <v>86.00071209221593</v>
          </cell>
          <cell r="H11">
            <v>88.40582815513177</v>
          </cell>
          <cell r="I11">
            <v>112.13958100904921</v>
          </cell>
          <cell r="J11">
            <v>128.30015558303745</v>
          </cell>
          <cell r="K11">
            <v>125.15441193353588</v>
          </cell>
          <cell r="L11">
            <v>149.56316784209326</v>
          </cell>
        </row>
        <row r="13">
          <cell r="A13" t="str">
            <v>Bosnia</v>
          </cell>
        </row>
        <row r="14">
          <cell r="C14">
            <v>5.103770827243497</v>
          </cell>
          <cell r="D14">
            <v>20.125694241449867</v>
          </cell>
          <cell r="E14">
            <v>186.57410114001755</v>
          </cell>
          <cell r="F14">
            <v>360.0613855597779</v>
          </cell>
          <cell r="G14">
            <v>328.8478049338905</v>
          </cell>
          <cell r="H14">
            <v>351.21657229354713</v>
          </cell>
          <cell r="I14">
            <v>368.81557984947534</v>
          </cell>
          <cell r="J14">
            <v>351.01244008831924</v>
          </cell>
          <cell r="K14">
            <v>273.69157644573545</v>
          </cell>
          <cell r="L14">
            <v>276.53569742432984</v>
          </cell>
          <cell r="M14">
            <v>228.04179042259395</v>
          </cell>
          <cell r="N14">
            <v>180.54764739375744</v>
          </cell>
          <cell r="O14">
            <v>214.2438422378773</v>
          </cell>
          <cell r="P14">
            <v>163.1698595146871</v>
          </cell>
          <cell r="Q14">
            <v>144.71737577798186</v>
          </cell>
          <cell r="R14">
            <v>121.17784910082021</v>
          </cell>
          <cell r="S14">
            <v>116.06634106634105</v>
          </cell>
        </row>
        <row r="17">
          <cell r="A17" t="str">
            <v>Sierra Leone</v>
          </cell>
        </row>
        <row r="18">
          <cell r="C18">
            <v>40.324158166829676</v>
          </cell>
          <cell r="D18">
            <v>36.23506796649732</v>
          </cell>
          <cell r="E18">
            <v>24.809915868088368</v>
          </cell>
          <cell r="F18">
            <v>63.03915063039151</v>
          </cell>
          <cell r="G18">
            <v>113.67553865652725</v>
          </cell>
          <cell r="H18">
            <v>107.42672326662625</v>
          </cell>
          <cell r="I18">
            <v>77.37015503875969</v>
          </cell>
          <cell r="J18">
            <v>82.19616601526148</v>
          </cell>
          <cell r="K18">
            <v>70.39742212674544</v>
          </cell>
          <cell r="L18">
            <v>61.689859441270286</v>
          </cell>
          <cell r="M18">
            <v>61.26922548750343</v>
          </cell>
          <cell r="N18">
            <v>61.67457193796886</v>
          </cell>
        </row>
      </sheetData>
      <sheetData sheetId="5">
        <row r="10">
          <cell r="AS10">
            <v>987.7</v>
          </cell>
          <cell r="AT10">
            <v>1220.79</v>
          </cell>
          <cell r="AU10">
            <v>1722.6</v>
          </cell>
          <cell r="AV10">
            <v>2175.35</v>
          </cell>
          <cell r="AW10">
            <v>2406.72</v>
          </cell>
          <cell r="AX10">
            <v>2937.61</v>
          </cell>
          <cell r="AY10">
            <v>3949.55</v>
          </cell>
          <cell r="AZ10">
            <v>4923.88</v>
          </cell>
        </row>
        <row r="11">
          <cell r="AS11">
            <v>290.5</v>
          </cell>
          <cell r="AT11">
            <v>362.78</v>
          </cell>
          <cell r="AU11">
            <v>550.39</v>
          </cell>
          <cell r="AV11">
            <v>603.93</v>
          </cell>
          <cell r="AW11">
            <v>473.2</v>
          </cell>
          <cell r="AX11">
            <v>850.99</v>
          </cell>
          <cell r="AY11">
            <v>702.27</v>
          </cell>
          <cell r="AZ11">
            <v>951.94</v>
          </cell>
        </row>
        <row r="15">
          <cell r="AS15">
            <v>12.77</v>
          </cell>
          <cell r="AT15">
            <v>8.31</v>
          </cell>
          <cell r="AU15">
            <v>21.09</v>
          </cell>
          <cell r="AV15">
            <v>15.85</v>
          </cell>
          <cell r="AW15">
            <v>21.15</v>
          </cell>
          <cell r="AX15">
            <v>50.25</v>
          </cell>
          <cell r="AY15">
            <v>138.44</v>
          </cell>
          <cell r="AZ15">
            <v>96.74</v>
          </cell>
        </row>
        <row r="16">
          <cell r="AS16">
            <v>13.4</v>
          </cell>
          <cell r="AT16">
            <v>6.9</v>
          </cell>
          <cell r="AU16">
            <v>8.65</v>
          </cell>
          <cell r="AV16">
            <v>7.68</v>
          </cell>
          <cell r="AW16">
            <v>1.24</v>
          </cell>
          <cell r="AX16">
            <v>0.66</v>
          </cell>
          <cell r="AY16">
            <v>0.84</v>
          </cell>
          <cell r="AZ16">
            <v>0.82</v>
          </cell>
        </row>
        <row r="17">
          <cell r="AS17">
            <v>7</v>
          </cell>
          <cell r="AT17">
            <v>3.09</v>
          </cell>
          <cell r="AU17">
            <v>6.96</v>
          </cell>
          <cell r="AV17">
            <v>5.08</v>
          </cell>
          <cell r="AW17">
            <v>7.63</v>
          </cell>
          <cell r="AX17">
            <v>10.64</v>
          </cell>
          <cell r="AY17">
            <v>10.15</v>
          </cell>
          <cell r="AZ17">
            <v>18.69</v>
          </cell>
        </row>
        <row r="18">
          <cell r="AS18">
            <v>35.81</v>
          </cell>
          <cell r="AT18">
            <v>73.13</v>
          </cell>
          <cell r="AU18">
            <v>56.24</v>
          </cell>
          <cell r="AV18">
            <v>89.47</v>
          </cell>
          <cell r="AW18">
            <v>140.27</v>
          </cell>
          <cell r="AX18">
            <v>345.39</v>
          </cell>
          <cell r="AY18">
            <v>207.86</v>
          </cell>
          <cell r="AZ18">
            <v>232.58</v>
          </cell>
        </row>
        <row r="19">
          <cell r="AS19">
            <v>7.75</v>
          </cell>
          <cell r="AT19">
            <v>17.91</v>
          </cell>
          <cell r="AU19">
            <v>14.18</v>
          </cell>
          <cell r="AV19">
            <v>23.64</v>
          </cell>
          <cell r="AW19">
            <v>29.63</v>
          </cell>
          <cell r="AX19">
            <v>40.74</v>
          </cell>
          <cell r="AY19">
            <v>50.38</v>
          </cell>
          <cell r="AZ19">
            <v>86.01</v>
          </cell>
        </row>
        <row r="20">
          <cell r="AS20">
            <v>15.26</v>
          </cell>
          <cell r="AT20">
            <v>13.57</v>
          </cell>
          <cell r="AU20">
            <v>15.45</v>
          </cell>
          <cell r="AV20">
            <v>14.57</v>
          </cell>
          <cell r="AW20">
            <v>15.26</v>
          </cell>
          <cell r="AX20">
            <v>19.16</v>
          </cell>
          <cell r="AY20">
            <v>26.07</v>
          </cell>
          <cell r="AZ20">
            <v>28.04</v>
          </cell>
        </row>
        <row r="21">
          <cell r="AS21">
            <v>11.86</v>
          </cell>
          <cell r="AT21">
            <v>12.45</v>
          </cell>
          <cell r="AU21">
            <v>15.03</v>
          </cell>
          <cell r="AV21">
            <v>17.71</v>
          </cell>
          <cell r="AW21">
            <v>14.62</v>
          </cell>
          <cell r="AX21">
            <v>19.54</v>
          </cell>
          <cell r="AY21">
            <v>19.9</v>
          </cell>
          <cell r="AZ21">
            <v>49.81</v>
          </cell>
        </row>
        <row r="22">
          <cell r="AS22">
            <v>89.57</v>
          </cell>
          <cell r="AT22">
            <v>82.1</v>
          </cell>
          <cell r="AU22">
            <v>75.13</v>
          </cell>
          <cell r="AV22">
            <v>99.23</v>
          </cell>
          <cell r="AW22">
            <v>117.99</v>
          </cell>
          <cell r="AX22">
            <v>187.62</v>
          </cell>
          <cell r="AY22">
            <v>294.02</v>
          </cell>
          <cell r="AZ22">
            <v>337.34</v>
          </cell>
        </row>
        <row r="23">
          <cell r="AS23">
            <v>8.95</v>
          </cell>
          <cell r="AT23">
            <v>8.61</v>
          </cell>
          <cell r="AU23">
            <v>9.61</v>
          </cell>
          <cell r="AV23">
            <v>17.28</v>
          </cell>
          <cell r="AW23">
            <v>10.91</v>
          </cell>
          <cell r="AX23">
            <v>17.25</v>
          </cell>
          <cell r="AY23">
            <v>10.13</v>
          </cell>
          <cell r="AZ23">
            <v>17.97</v>
          </cell>
        </row>
        <row r="24">
          <cell r="AS24">
            <v>6.57</v>
          </cell>
          <cell r="AT24">
            <v>5.25</v>
          </cell>
          <cell r="AU24">
            <v>4.55</v>
          </cell>
          <cell r="AV24">
            <v>3.13</v>
          </cell>
          <cell r="AW24">
            <v>4.59</v>
          </cell>
          <cell r="AX24">
            <v>7.4</v>
          </cell>
          <cell r="AY24">
            <v>6.31</v>
          </cell>
          <cell r="AZ24">
            <v>7.11</v>
          </cell>
        </row>
        <row r="25">
          <cell r="AS25">
            <v>28.34</v>
          </cell>
          <cell r="AT25">
            <v>38.16</v>
          </cell>
          <cell r="AU25">
            <v>37.31</v>
          </cell>
          <cell r="AV25">
            <v>27.39</v>
          </cell>
          <cell r="AW25">
            <v>32.5</v>
          </cell>
          <cell r="AX25">
            <v>62.04</v>
          </cell>
          <cell r="AY25">
            <v>116.71</v>
          </cell>
          <cell r="AZ25">
            <v>67.41</v>
          </cell>
        </row>
        <row r="26">
          <cell r="AS26">
            <v>31.7</v>
          </cell>
          <cell r="AT26">
            <v>134.42</v>
          </cell>
          <cell r="AU26">
            <v>172.52</v>
          </cell>
          <cell r="AV26">
            <v>71.05</v>
          </cell>
          <cell r="AW26">
            <v>107.42</v>
          </cell>
          <cell r="AX26">
            <v>101.01</v>
          </cell>
          <cell r="AY26">
            <v>208.03</v>
          </cell>
          <cell r="AZ26">
            <v>170.54</v>
          </cell>
        </row>
        <row r="27">
          <cell r="AS27">
            <v>4.78</v>
          </cell>
          <cell r="AT27">
            <v>21.12</v>
          </cell>
          <cell r="AU27">
            <v>21.54</v>
          </cell>
          <cell r="AV27">
            <v>8.89</v>
          </cell>
          <cell r="AW27">
            <v>2.15</v>
          </cell>
          <cell r="AX27">
            <v>2.58</v>
          </cell>
          <cell r="AY27">
            <v>4.02</v>
          </cell>
          <cell r="AZ27">
            <v>24.09</v>
          </cell>
        </row>
        <row r="28">
          <cell r="AS28">
            <v>4.72</v>
          </cell>
          <cell r="AT28">
            <v>1.51</v>
          </cell>
          <cell r="AU28">
            <v>0.96</v>
          </cell>
          <cell r="AV28">
            <v>1.46</v>
          </cell>
          <cell r="AW28">
            <v>2.13</v>
          </cell>
          <cell r="AX28">
            <v>3.2</v>
          </cell>
          <cell r="AY28">
            <v>3.59</v>
          </cell>
          <cell r="AZ28">
            <v>3.74</v>
          </cell>
        </row>
        <row r="29">
          <cell r="AS29">
            <v>88.28</v>
          </cell>
          <cell r="AT29">
            <v>77.37</v>
          </cell>
          <cell r="AU29">
            <v>90.31</v>
          </cell>
          <cell r="AV29">
            <v>79.09</v>
          </cell>
          <cell r="AW29">
            <v>87.34</v>
          </cell>
          <cell r="AX29">
            <v>88.82</v>
          </cell>
          <cell r="AY29">
            <v>111.97</v>
          </cell>
          <cell r="AZ29">
            <v>147.93</v>
          </cell>
        </row>
        <row r="30">
          <cell r="AS30">
            <v>2.04</v>
          </cell>
          <cell r="AT30">
            <v>1.4</v>
          </cell>
          <cell r="AU30">
            <v>10.01</v>
          </cell>
          <cell r="AV30">
            <v>9.22</v>
          </cell>
          <cell r="AW30">
            <v>3.32</v>
          </cell>
          <cell r="AX30">
            <v>3.73</v>
          </cell>
          <cell r="AY30">
            <v>7.8</v>
          </cell>
          <cell r="AZ30">
            <v>4.16</v>
          </cell>
        </row>
        <row r="31">
          <cell r="AS31">
            <v>60.86</v>
          </cell>
          <cell r="AT31">
            <v>68.78</v>
          </cell>
          <cell r="AU31">
            <v>67.73</v>
          </cell>
          <cell r="AV31">
            <v>59.95</v>
          </cell>
          <cell r="AW31">
            <v>69.68</v>
          </cell>
          <cell r="AX31">
            <v>94.42</v>
          </cell>
          <cell r="AY31">
            <v>129.05</v>
          </cell>
          <cell r="AZ31">
            <v>115.93</v>
          </cell>
        </row>
        <row r="32">
          <cell r="AS32">
            <v>1</v>
          </cell>
          <cell r="AT32">
            <v>0.24</v>
          </cell>
          <cell r="AU32">
            <v>1.98</v>
          </cell>
          <cell r="AV32">
            <v>5.55</v>
          </cell>
          <cell r="AW32">
            <v>6.58</v>
          </cell>
          <cell r="AX32">
            <v>8.99</v>
          </cell>
          <cell r="AY32">
            <v>14.18</v>
          </cell>
          <cell r="AZ32">
            <v>11.64</v>
          </cell>
        </row>
        <row r="33">
          <cell r="AS33">
            <v>17.81</v>
          </cell>
          <cell r="AT33">
            <v>5.15</v>
          </cell>
          <cell r="AU33">
            <v>16.56</v>
          </cell>
          <cell r="AV33">
            <v>19</v>
          </cell>
          <cell r="AW33">
            <v>18.11</v>
          </cell>
          <cell r="AX33">
            <v>43.5</v>
          </cell>
          <cell r="AY33">
            <v>71.79</v>
          </cell>
          <cell r="AZ33">
            <v>98.91</v>
          </cell>
        </row>
        <row r="34">
          <cell r="AS34">
            <v>27.52</v>
          </cell>
          <cell r="AT34">
            <v>41.88</v>
          </cell>
          <cell r="AU34">
            <v>55.68</v>
          </cell>
          <cell r="AV34">
            <v>44.22</v>
          </cell>
          <cell r="AW34">
            <v>46.42</v>
          </cell>
          <cell r="AX34">
            <v>56.15</v>
          </cell>
          <cell r="AY34">
            <v>73.89</v>
          </cell>
          <cell r="AZ34">
            <v>80.07</v>
          </cell>
        </row>
        <row r="35">
          <cell r="AS35">
            <v>13.3</v>
          </cell>
          <cell r="AT35">
            <v>15.04</v>
          </cell>
          <cell r="AU35">
            <v>18.81</v>
          </cell>
          <cell r="AV35">
            <v>17.67</v>
          </cell>
          <cell r="AW35">
            <v>17.58</v>
          </cell>
          <cell r="AX35">
            <v>19.69</v>
          </cell>
          <cell r="AY35">
            <v>15.79</v>
          </cell>
          <cell r="AZ35">
            <v>20.03</v>
          </cell>
        </row>
        <row r="36">
          <cell r="AS36">
            <v>130.8</v>
          </cell>
          <cell r="AT36">
            <v>98.61</v>
          </cell>
          <cell r="AU36">
            <v>224.01</v>
          </cell>
          <cell r="AV36">
            <v>219.92</v>
          </cell>
          <cell r="AW36">
            <v>246.49</v>
          </cell>
          <cell r="AX36">
            <v>268.71</v>
          </cell>
          <cell r="AY36">
            <v>322.31</v>
          </cell>
          <cell r="AZ36">
            <v>324.39</v>
          </cell>
        </row>
        <row r="37">
          <cell r="AS37">
            <v>367.61</v>
          </cell>
          <cell r="AT37">
            <v>485.79</v>
          </cell>
          <cell r="AU37">
            <v>778.29</v>
          </cell>
          <cell r="AV37">
            <v>1318.3</v>
          </cell>
          <cell r="AW37">
            <v>1403.71</v>
          </cell>
          <cell r="AX37">
            <v>1486.12</v>
          </cell>
          <cell r="AY37">
            <v>2106.32</v>
          </cell>
          <cell r="AZ37">
            <v>2979.93</v>
          </cell>
        </row>
        <row r="38">
          <cell r="AS38">
            <v>143.72</v>
          </cell>
          <cell r="AT38">
            <v>208.03</v>
          </cell>
          <cell r="AU38">
            <v>212</v>
          </cell>
          <cell r="AV38">
            <v>256.62</v>
          </cell>
          <cell r="AW38">
            <v>220.9</v>
          </cell>
          <cell r="AX38">
            <v>307.46</v>
          </cell>
          <cell r="AY38">
            <v>349.31</v>
          </cell>
          <cell r="AZ38">
            <v>395.36</v>
          </cell>
        </row>
        <row r="40">
          <cell r="AS40">
            <v>0.73</v>
          </cell>
          <cell r="AT40">
            <v>6.12</v>
          </cell>
          <cell r="AU40">
            <v>6.08</v>
          </cell>
          <cell r="AV40">
            <v>1.96</v>
          </cell>
          <cell r="AW40">
            <v>4.2</v>
          </cell>
          <cell r="AX40">
            <v>10.62</v>
          </cell>
          <cell r="AY40">
            <v>42.1</v>
          </cell>
          <cell r="AZ40">
            <v>26.09</v>
          </cell>
        </row>
        <row r="41">
          <cell r="AS41" t="str">
            <v>..</v>
          </cell>
          <cell r="AT41" t="str">
            <v>..</v>
          </cell>
          <cell r="AU41">
            <v>1.63</v>
          </cell>
          <cell r="AV41">
            <v>0.07</v>
          </cell>
          <cell r="AW41">
            <v>0.39</v>
          </cell>
          <cell r="AX41">
            <v>7.52</v>
          </cell>
          <cell r="AY41">
            <v>4.07</v>
          </cell>
          <cell r="AZ41">
            <v>8.45</v>
          </cell>
        </row>
        <row r="42">
          <cell r="AS42" t="str">
            <v>..</v>
          </cell>
          <cell r="AT42" t="str">
            <v>..</v>
          </cell>
          <cell r="AU42" t="str">
            <v>..</v>
          </cell>
          <cell r="AV42">
            <v>2.91</v>
          </cell>
          <cell r="AW42">
            <v>4.42</v>
          </cell>
          <cell r="AX42">
            <v>4.59</v>
          </cell>
          <cell r="AY42">
            <v>2.68</v>
          </cell>
          <cell r="AZ42">
            <v>1.43</v>
          </cell>
        </row>
        <row r="44">
          <cell r="AS44">
            <v>0.3</v>
          </cell>
          <cell r="AT44">
            <v>0.11</v>
          </cell>
          <cell r="AU44">
            <v>0.21</v>
          </cell>
          <cell r="AV44">
            <v>0.33</v>
          </cell>
          <cell r="AW44">
            <v>0.55</v>
          </cell>
          <cell r="AX44">
            <v>1.81</v>
          </cell>
          <cell r="AY44">
            <v>1.89</v>
          </cell>
          <cell r="AZ44">
            <v>6.34</v>
          </cell>
        </row>
        <row r="48">
          <cell r="AS48">
            <v>0.38</v>
          </cell>
          <cell r="AT48">
            <v>0.7</v>
          </cell>
          <cell r="AU48">
            <v>8.74</v>
          </cell>
          <cell r="AV48">
            <v>28.56</v>
          </cell>
          <cell r="AW48">
            <v>57.65</v>
          </cell>
          <cell r="AX48">
            <v>71.61</v>
          </cell>
          <cell r="AY48">
            <v>141.96</v>
          </cell>
          <cell r="AZ48">
            <v>96.46</v>
          </cell>
        </row>
        <row r="49">
          <cell r="AS49" t="str">
            <v>..</v>
          </cell>
          <cell r="AT49" t="str">
            <v>..</v>
          </cell>
          <cell r="AU49" t="str">
            <v>..</v>
          </cell>
          <cell r="AV49" t="str">
            <v>..</v>
          </cell>
          <cell r="AW49" t="str">
            <v>..</v>
          </cell>
          <cell r="AX49">
            <v>0.35</v>
          </cell>
          <cell r="AY49">
            <v>3.12</v>
          </cell>
          <cell r="AZ49">
            <v>46.84</v>
          </cell>
        </row>
        <row r="85">
          <cell r="AT85" t="str">
            <v>2002</v>
          </cell>
          <cell r="AU85" t="str">
            <v>2003</v>
          </cell>
          <cell r="AV85" t="str">
            <v>2004</v>
          </cell>
          <cell r="AW85" t="str">
            <v>2005</v>
          </cell>
          <cell r="AX85" t="str">
            <v>2006</v>
          </cell>
          <cell r="AY85" t="str">
            <v>2007</v>
          </cell>
          <cell r="AZ85" t="str">
            <v>2008</v>
          </cell>
          <cell r="BA85" t="str">
            <v>2009</v>
          </cell>
        </row>
        <row r="87">
          <cell r="AS87" t="str">
            <v>Other DAC countries</v>
          </cell>
          <cell r="AT87">
            <v>0.33221</v>
          </cell>
          <cell r="AU87">
            <v>0.34674000000000005</v>
          </cell>
          <cell r="AV87">
            <v>0.41640999999999995</v>
          </cell>
          <cell r="AW87">
            <v>0.37738000000000005</v>
          </cell>
          <cell r="AX87">
            <v>0.39083999999999985</v>
          </cell>
          <cell r="AY87">
            <v>0.5487600000000001</v>
          </cell>
          <cell r="AZ87">
            <v>0.81101</v>
          </cell>
          <cell r="BA87">
            <v>0.8791000000000002</v>
          </cell>
        </row>
        <row r="88">
          <cell r="AS88" t="str">
            <v>United States</v>
          </cell>
          <cell r="AT88">
            <v>0.36761</v>
          </cell>
          <cell r="AU88">
            <v>0.48579</v>
          </cell>
          <cell r="AV88">
            <v>0.7782899999999999</v>
          </cell>
          <cell r="AW88">
            <v>1.3183</v>
          </cell>
          <cell r="AX88">
            <v>1.40371</v>
          </cell>
          <cell r="AY88">
            <v>1.4861199999999999</v>
          </cell>
          <cell r="AZ88">
            <v>2.10632</v>
          </cell>
          <cell r="BA88">
            <v>2.97993</v>
          </cell>
        </row>
        <row r="89">
          <cell r="AS89" t="str">
            <v>United Kingdom</v>
          </cell>
          <cell r="AT89">
            <v>0.1308</v>
          </cell>
          <cell r="AU89">
            <v>0.09861</v>
          </cell>
          <cell r="AV89">
            <v>0.22401</v>
          </cell>
          <cell r="AW89">
            <v>0.21991999999999998</v>
          </cell>
          <cell r="AX89">
            <v>0.24649000000000001</v>
          </cell>
          <cell r="AY89">
            <v>0.26871</v>
          </cell>
          <cell r="AZ89">
            <v>0.32231</v>
          </cell>
          <cell r="BA89">
            <v>0.32439</v>
          </cell>
        </row>
        <row r="90">
          <cell r="AS90" t="str">
            <v>Germany</v>
          </cell>
          <cell r="AT90">
            <v>0.08957</v>
          </cell>
          <cell r="AU90">
            <v>0.08209999999999999</v>
          </cell>
          <cell r="AV90">
            <v>0.07513</v>
          </cell>
          <cell r="AW90">
            <v>0.09923</v>
          </cell>
          <cell r="AX90">
            <v>0.11799</v>
          </cell>
          <cell r="AY90">
            <v>0.18762</v>
          </cell>
          <cell r="AZ90">
            <v>0.29402</v>
          </cell>
          <cell r="BA90">
            <v>0.33734</v>
          </cell>
        </row>
        <row r="91">
          <cell r="AS91" t="str">
            <v>Canada</v>
          </cell>
          <cell r="AT91">
            <v>0.03581</v>
          </cell>
          <cell r="AU91">
            <v>0.07313</v>
          </cell>
          <cell r="AV91">
            <v>0.056240000000000005</v>
          </cell>
          <cell r="AW91">
            <v>0.08947</v>
          </cell>
          <cell r="AX91">
            <v>0.14027</v>
          </cell>
          <cell r="AY91">
            <v>0.34539</v>
          </cell>
          <cell r="AZ91">
            <v>0.20786000000000002</v>
          </cell>
          <cell r="BA91">
            <v>0.23258</v>
          </cell>
        </row>
        <row r="92">
          <cell r="AS92" t="str">
            <v>Japan</v>
          </cell>
          <cell r="AT92">
            <v>0.0317</v>
          </cell>
          <cell r="AU92">
            <v>0.13441999999999998</v>
          </cell>
          <cell r="AV92">
            <v>0.17252</v>
          </cell>
          <cell r="AW92">
            <v>0.07105</v>
          </cell>
          <cell r="AX92">
            <v>0.10742</v>
          </cell>
          <cell r="AY92">
            <v>0.10101</v>
          </cell>
          <cell r="AZ92">
            <v>0.20803</v>
          </cell>
          <cell r="BA92">
            <v>0.17054</v>
          </cell>
        </row>
        <row r="93">
          <cell r="AS93" t="str">
            <v>European Commission</v>
          </cell>
          <cell r="AT93">
            <v>0.14372</v>
          </cell>
          <cell r="AU93">
            <v>0.20803</v>
          </cell>
          <cell r="AV93">
            <v>0.212</v>
          </cell>
          <cell r="AW93">
            <v>0.25662</v>
          </cell>
          <cell r="AX93">
            <v>0.2209</v>
          </cell>
          <cell r="AY93">
            <v>0.30745999999999996</v>
          </cell>
          <cell r="AZ93">
            <v>0.34931</v>
          </cell>
          <cell r="BA93">
            <v>0.39536</v>
          </cell>
        </row>
      </sheetData>
      <sheetData sheetId="7">
        <row r="4">
          <cell r="E4">
            <v>19.7446</v>
          </cell>
          <cell r="F4">
            <v>20.2408</v>
          </cell>
          <cell r="G4">
            <v>20.737</v>
          </cell>
          <cell r="H4">
            <v>21.603</v>
          </cell>
          <cell r="I4">
            <v>22.469</v>
          </cell>
          <cell r="J4">
            <v>23.335</v>
          </cell>
          <cell r="K4">
            <v>24.201</v>
          </cell>
          <cell r="L4">
            <v>25.067</v>
          </cell>
          <cell r="M4">
            <v>26.131400000000003</v>
          </cell>
          <cell r="N4">
            <v>27.1958</v>
          </cell>
          <cell r="O4">
            <v>28.2602</v>
          </cell>
          <cell r="P4">
            <v>29.3246</v>
          </cell>
          <cell r="Q4">
            <v>30.389</v>
          </cell>
        </row>
        <row r="24">
          <cell r="B24">
            <v>3.421</v>
          </cell>
          <cell r="C24">
            <v>3.4941999999999998</v>
          </cell>
          <cell r="D24">
            <v>3.5674</v>
          </cell>
          <cell r="E24">
            <v>3.6406</v>
          </cell>
          <cell r="F24">
            <v>3.7138</v>
          </cell>
          <cell r="G24">
            <v>3.787</v>
          </cell>
          <cell r="H24">
            <v>3.8125999999999998</v>
          </cell>
          <cell r="I24">
            <v>3.8381999999999996</v>
          </cell>
          <cell r="J24">
            <v>3.8638000000000003</v>
          </cell>
          <cell r="K24">
            <v>3.8894</v>
          </cell>
          <cell r="L24">
            <v>3.915</v>
          </cell>
          <cell r="M24">
            <v>3.9204</v>
          </cell>
          <cell r="N24">
            <v>3.9258</v>
          </cell>
          <cell r="O24">
            <v>3.9312</v>
          </cell>
          <cell r="P24">
            <v>3.9366</v>
          </cell>
        </row>
        <row r="79">
          <cell r="G79">
            <v>25.052</v>
          </cell>
          <cell r="H79">
            <v>25.6408</v>
          </cell>
          <cell r="I79">
            <v>26.229599999999998</v>
          </cell>
          <cell r="J79">
            <v>26.8184</v>
          </cell>
          <cell r="K79">
            <v>27.4072</v>
          </cell>
          <cell r="L79">
            <v>27.996</v>
          </cell>
          <cell r="M79">
            <v>28.5344</v>
          </cell>
          <cell r="N79">
            <v>29.0728</v>
          </cell>
          <cell r="O79">
            <v>29.6112</v>
          </cell>
          <cell r="P79">
            <v>30.1496</v>
          </cell>
        </row>
        <row r="144">
          <cell r="D144">
            <v>4.2942</v>
          </cell>
          <cell r="E144">
            <v>4.369800000000001</v>
          </cell>
          <cell r="F144">
            <v>4.445399999999999</v>
          </cell>
          <cell r="G144">
            <v>4.521</v>
          </cell>
          <cell r="H144">
            <v>4.734</v>
          </cell>
          <cell r="I144">
            <v>4.947</v>
          </cell>
          <cell r="J144">
            <v>5.16</v>
          </cell>
          <cell r="K144">
            <v>5.373</v>
          </cell>
          <cell r="L144">
            <v>5.586</v>
          </cell>
          <cell r="M144">
            <v>5.7058</v>
          </cell>
          <cell r="N144">
            <v>5.8256000000000006</v>
          </cell>
          <cell r="O144">
            <v>5.945399999999999</v>
          </cell>
          <cell r="P144">
            <v>6.0652</v>
          </cell>
        </row>
      </sheetData>
      <sheetData sheetId="8">
        <row r="12">
          <cell r="AI12">
            <v>17.46</v>
          </cell>
          <cell r="AJ12">
            <v>68.85</v>
          </cell>
          <cell r="AK12">
            <v>638.27</v>
          </cell>
          <cell r="AL12">
            <v>1231.77</v>
          </cell>
          <cell r="AM12">
            <v>1149.06</v>
          </cell>
          <cell r="AN12">
            <v>1252.93</v>
          </cell>
          <cell r="AO12">
            <v>1342.71</v>
          </cell>
          <cell r="AP12">
            <v>1303.59</v>
          </cell>
          <cell r="AQ12">
            <v>1036.47</v>
          </cell>
          <cell r="AR12">
            <v>1054.32</v>
          </cell>
          <cell r="AS12">
            <v>875.27</v>
          </cell>
          <cell r="AT12">
            <v>697.6</v>
          </cell>
          <cell r="AU12">
            <v>833.28</v>
          </cell>
          <cell r="AV12">
            <v>638.81</v>
          </cell>
          <cell r="AW12">
            <v>567.35</v>
          </cell>
          <cell r="AX12">
            <v>475.72</v>
          </cell>
          <cell r="AY12">
            <v>456.28</v>
          </cell>
          <cell r="AZ12">
            <v>431.69</v>
          </cell>
        </row>
        <row r="143">
          <cell r="AO143">
            <v>245.3</v>
          </cell>
          <cell r="AP143">
            <v>215.73</v>
          </cell>
          <cell r="AQ143">
            <v>232.43</v>
          </cell>
          <cell r="AR143">
            <v>735.85</v>
          </cell>
          <cell r="AS143">
            <v>1932.35</v>
          </cell>
          <cell r="AT143">
            <v>2062.95</v>
          </cell>
          <cell r="AU143">
            <v>2713.89</v>
          </cell>
          <cell r="AV143">
            <v>3216.1</v>
          </cell>
          <cell r="AW143">
            <v>3270.46</v>
          </cell>
          <cell r="AX143">
            <v>4067.49</v>
          </cell>
          <cell r="AY143">
            <v>4858.38</v>
          </cell>
          <cell r="AZ143">
            <v>6183.83</v>
          </cell>
        </row>
        <row r="165">
          <cell r="AQ165">
            <v>174.3</v>
          </cell>
          <cell r="AR165">
            <v>216.66</v>
          </cell>
          <cell r="AS165">
            <v>179.72</v>
          </cell>
          <cell r="AT165">
            <v>2783.39</v>
          </cell>
          <cell r="AU165">
            <v>5117.61</v>
          </cell>
          <cell r="AV165">
            <v>8825.1</v>
          </cell>
          <cell r="AW165">
            <v>5875.93</v>
          </cell>
          <cell r="AX165">
            <v>4453.96</v>
          </cell>
          <cell r="AY165">
            <v>3255.24</v>
          </cell>
          <cell r="AZ165">
            <v>2786.85</v>
          </cell>
        </row>
        <row r="223">
          <cell r="AN223">
            <v>173.16</v>
          </cell>
          <cell r="AO223">
            <v>158.34</v>
          </cell>
          <cell r="AP223">
            <v>110.29</v>
          </cell>
          <cell r="AQ223">
            <v>285</v>
          </cell>
          <cell r="AR223">
            <v>538.14</v>
          </cell>
          <cell r="AS223">
            <v>531.44</v>
          </cell>
          <cell r="AT223">
            <v>399.23</v>
          </cell>
          <cell r="AU223">
            <v>441.64</v>
          </cell>
          <cell r="AV223">
            <v>393.24</v>
          </cell>
          <cell r="AW223">
            <v>351.99</v>
          </cell>
          <cell r="AX223">
            <v>356.93</v>
          </cell>
          <cell r="AY223">
            <v>366.68</v>
          </cell>
          <cell r="AZ223">
            <v>454.93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Aid-non-DAC"/>
      <sheetName val="Poland"/>
      <sheetName val="DADs"/>
      <sheetName val="ODA-DAC-Current"/>
      <sheetName val="Total-imputed-ODA"/>
    </sheetNames>
    <sheetDataSet>
      <sheetData sheetId="0">
        <row r="3">
          <cell r="N3">
            <v>0.435493</v>
          </cell>
        </row>
        <row r="4">
          <cell r="N4">
            <v>58.2</v>
          </cell>
        </row>
        <row r="5">
          <cell r="N5">
            <v>0.08</v>
          </cell>
        </row>
        <row r="6">
          <cell r="N6">
            <v>0.45930948250000003</v>
          </cell>
        </row>
        <row r="7">
          <cell r="N7">
            <v>340.981</v>
          </cell>
        </row>
        <row r="8">
          <cell r="N8">
            <v>433.74772425000003</v>
          </cell>
        </row>
        <row r="9">
          <cell r="N9">
            <v>19.19</v>
          </cell>
        </row>
        <row r="11">
          <cell r="N11">
            <v>1.6230055</v>
          </cell>
        </row>
        <row r="12">
          <cell r="N12">
            <v>0.16</v>
          </cell>
        </row>
        <row r="13">
          <cell r="N13">
            <v>146.75</v>
          </cell>
        </row>
        <row r="14">
          <cell r="N14">
            <v>25</v>
          </cell>
        </row>
        <row r="15">
          <cell r="N15">
            <v>1.500583</v>
          </cell>
        </row>
        <row r="27">
          <cell r="D27">
            <v>83.42653024999998</v>
          </cell>
          <cell r="E27">
            <v>190.79550025</v>
          </cell>
          <cell r="F27">
            <v>156.75441687500003</v>
          </cell>
          <cell r="G27">
            <v>198.54401925000002</v>
          </cell>
          <cell r="H27">
            <v>172.99772875000002</v>
          </cell>
          <cell r="I27">
            <v>180.594997</v>
          </cell>
          <cell r="J27">
            <v>363.5413213275</v>
          </cell>
          <cell r="K27">
            <v>247.69288678</v>
          </cell>
        </row>
        <row r="30">
          <cell r="D30">
            <v>2002</v>
          </cell>
          <cell r="E30">
            <v>2003</v>
          </cell>
          <cell r="F30">
            <v>2004</v>
          </cell>
          <cell r="G30">
            <v>2005</v>
          </cell>
          <cell r="H30">
            <v>2006</v>
          </cell>
          <cell r="I30">
            <v>2007</v>
          </cell>
          <cell r="J30">
            <v>2008</v>
          </cell>
          <cell r="K30">
            <v>2009</v>
          </cell>
        </row>
        <row r="31">
          <cell r="B31" t="str">
            <v>India</v>
          </cell>
          <cell r="D31">
            <v>15.58</v>
          </cell>
          <cell r="E31">
            <v>50.22250025</v>
          </cell>
          <cell r="F31">
            <v>23.554166875</v>
          </cell>
          <cell r="G31">
            <v>98.65708350000001</v>
          </cell>
          <cell r="H31">
            <v>43.8570835</v>
          </cell>
          <cell r="I31">
            <v>30.508333499999996</v>
          </cell>
          <cell r="J31">
            <v>124.138333375</v>
          </cell>
          <cell r="K31">
            <v>45.640223250000005</v>
          </cell>
        </row>
        <row r="32">
          <cell r="B32" t="str">
            <v>Turkey</v>
          </cell>
          <cell r="D32">
            <v>0.38</v>
          </cell>
          <cell r="E32">
            <v>0.7</v>
          </cell>
          <cell r="F32">
            <v>8.74</v>
          </cell>
          <cell r="G32">
            <v>28.56</v>
          </cell>
          <cell r="H32">
            <v>57.65</v>
          </cell>
          <cell r="I32">
            <v>71.61</v>
          </cell>
          <cell r="J32">
            <v>141.96</v>
          </cell>
          <cell r="K32">
            <v>96.46</v>
          </cell>
        </row>
        <row r="33">
          <cell r="B33" t="str">
            <v>Iran</v>
          </cell>
          <cell r="D33">
            <v>35.433749999999996</v>
          </cell>
          <cell r="E33">
            <v>67.387</v>
          </cell>
          <cell r="F33">
            <v>53.22775</v>
          </cell>
          <cell r="G33">
            <v>50.126250000000006</v>
          </cell>
          <cell r="H33">
            <v>52.08624999999999</v>
          </cell>
          <cell r="I33">
            <v>42.0625</v>
          </cell>
          <cell r="J33">
            <v>32.9075</v>
          </cell>
          <cell r="K33">
            <v>7.75</v>
          </cell>
        </row>
        <row r="34">
          <cell r="B34" t="str">
            <v>Russian Federation</v>
          </cell>
          <cell r="D34">
            <v>7.5</v>
          </cell>
          <cell r="E34">
            <v>55.5</v>
          </cell>
          <cell r="F34">
            <v>44.75</v>
          </cell>
          <cell r="G34">
            <v>8.75</v>
          </cell>
          <cell r="H34">
            <v>0</v>
          </cell>
          <cell r="I34">
            <v>0</v>
          </cell>
          <cell r="J34">
            <v>2</v>
          </cell>
          <cell r="K34">
            <v>5.75</v>
          </cell>
        </row>
        <row r="35">
          <cell r="B35" t="str">
            <v>Czech Republic</v>
          </cell>
          <cell r="D35">
            <v>0.73</v>
          </cell>
          <cell r="E35">
            <v>6.12</v>
          </cell>
          <cell r="F35">
            <v>6.08</v>
          </cell>
          <cell r="G35">
            <v>1.96</v>
          </cell>
          <cell r="H35">
            <v>4.2</v>
          </cell>
          <cell r="I35">
            <v>10.62</v>
          </cell>
          <cell r="J35">
            <v>42.1</v>
          </cell>
          <cell r="K35">
            <v>26.09</v>
          </cell>
        </row>
        <row r="36">
          <cell r="B36" t="str">
            <v>Others</v>
          </cell>
          <cell r="D36">
            <v>23.80278024999999</v>
          </cell>
          <cell r="E36">
            <v>10.865999999999985</v>
          </cell>
          <cell r="F36">
            <v>20.402500000000032</v>
          </cell>
          <cell r="G36">
            <v>10.490685749999983</v>
          </cell>
          <cell r="H36">
            <v>15.204395250000061</v>
          </cell>
          <cell r="I36">
            <v>25.794163499999996</v>
          </cell>
          <cell r="J36">
            <v>20.435487952499898</v>
          </cell>
          <cell r="K36">
            <v>66.00266353</v>
          </cell>
        </row>
      </sheetData>
      <sheetData sheetId="2">
        <row r="20">
          <cell r="A20" t="str">
            <v>Singapore</v>
          </cell>
          <cell r="B20">
            <v>0.824176</v>
          </cell>
          <cell r="C20">
            <v>0.676407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South Africa</v>
          </cell>
          <cell r="B21">
            <v>0</v>
          </cell>
          <cell r="C21">
            <v>0</v>
          </cell>
          <cell r="D21">
            <v>0.006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9">
          <cell r="A29" t="str">
            <v>Brunei Darussalam</v>
          </cell>
          <cell r="B29">
            <v>0.32661975</v>
          </cell>
          <cell r="C29">
            <v>0.10887325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China</v>
          </cell>
          <cell r="B30">
            <v>19.5</v>
          </cell>
          <cell r="C30">
            <v>6.5</v>
          </cell>
          <cell r="D30">
            <v>0</v>
          </cell>
          <cell r="E30">
            <v>8.0625</v>
          </cell>
          <cell r="F30">
            <v>2.6875</v>
          </cell>
          <cell r="G30">
            <v>3.24</v>
          </cell>
          <cell r="H30">
            <v>9.825000000000001</v>
          </cell>
          <cell r="I30">
            <v>7.0175</v>
          </cell>
          <cell r="J30">
            <v>1.3675</v>
          </cell>
          <cell r="K30">
            <v>0</v>
          </cell>
        </row>
        <row r="34">
          <cell r="B34">
            <v>1.59</v>
          </cell>
          <cell r="C34">
            <v>15.38</v>
          </cell>
          <cell r="D34">
            <v>50.02250025</v>
          </cell>
          <cell r="E34">
            <v>23.554166875</v>
          </cell>
          <cell r="F34">
            <v>98.25708350000001</v>
          </cell>
          <cell r="G34">
            <v>43.6570835</v>
          </cell>
          <cell r="H34">
            <v>30.308333499999996</v>
          </cell>
          <cell r="I34">
            <v>123.948333375</v>
          </cell>
          <cell r="J34">
            <v>45.44022325</v>
          </cell>
          <cell r="K34">
            <v>2.35090775</v>
          </cell>
        </row>
        <row r="35">
          <cell r="A35" t="str">
            <v>Iran</v>
          </cell>
          <cell r="B35">
            <v>0</v>
          </cell>
          <cell r="C35">
            <v>35.433749999999996</v>
          </cell>
          <cell r="D35">
            <v>66.397</v>
          </cell>
          <cell r="E35">
            <v>53.22775</v>
          </cell>
          <cell r="F35">
            <v>50.126250000000006</v>
          </cell>
          <cell r="G35">
            <v>52.08624999999999</v>
          </cell>
          <cell r="H35">
            <v>42.0625</v>
          </cell>
          <cell r="I35">
            <v>32.9075</v>
          </cell>
          <cell r="J35">
            <v>7.75</v>
          </cell>
          <cell r="K35">
            <v>0</v>
          </cell>
        </row>
        <row r="36">
          <cell r="A36" t="str">
            <v>Kuwait</v>
          </cell>
          <cell r="B36">
            <v>2.9925</v>
          </cell>
          <cell r="C36">
            <v>1.1475</v>
          </cell>
          <cell r="D36">
            <v>0.05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Liechtenstein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0.04318575</v>
          </cell>
          <cell r="G37">
            <v>0.01439525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Lithuania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0.18916349999999998</v>
          </cell>
          <cell r="I38">
            <v>0.7496525</v>
          </cell>
          <cell r="J38">
            <v>0.6841895</v>
          </cell>
          <cell r="K38">
            <v>0.1517745</v>
          </cell>
        </row>
        <row r="42">
          <cell r="A42" t="str">
            <v>Russian Federation</v>
          </cell>
          <cell r="B42">
            <v>22.5</v>
          </cell>
          <cell r="C42">
            <v>7.5</v>
          </cell>
          <cell r="D42">
            <v>55.5</v>
          </cell>
          <cell r="E42">
            <v>44.75</v>
          </cell>
          <cell r="F42">
            <v>8.75</v>
          </cell>
          <cell r="G42">
            <v>0</v>
          </cell>
          <cell r="H42">
            <v>0</v>
          </cell>
          <cell r="I42">
            <v>0</v>
          </cell>
          <cell r="J42">
            <v>3.75</v>
          </cell>
          <cell r="K42">
            <v>3.2</v>
          </cell>
        </row>
        <row r="43">
          <cell r="A43" t="str">
            <v>Saudi Arabia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3">
        <row r="40">
          <cell r="AR40">
            <v>0.64</v>
          </cell>
          <cell r="AS40">
            <v>0.73</v>
          </cell>
          <cell r="AT40">
            <v>6.12</v>
          </cell>
          <cell r="AU40">
            <v>6.08</v>
          </cell>
          <cell r="AV40">
            <v>1.96</v>
          </cell>
          <cell r="AW40">
            <v>4.2</v>
          </cell>
          <cell r="AX40">
            <v>10.62</v>
          </cell>
          <cell r="AY40">
            <v>42.1</v>
          </cell>
          <cell r="AZ40">
            <v>26.09</v>
          </cell>
        </row>
        <row r="41">
          <cell r="A41" t="str">
            <v>Hungary</v>
          </cell>
          <cell r="AR41" t="str">
            <v>..</v>
          </cell>
          <cell r="AS41" t="str">
            <v>..</v>
          </cell>
          <cell r="AT41" t="str">
            <v>..</v>
          </cell>
          <cell r="AU41">
            <v>1.63</v>
          </cell>
          <cell r="AV41">
            <v>0.07</v>
          </cell>
          <cell r="AW41">
            <v>0.39</v>
          </cell>
          <cell r="AX41">
            <v>7.52</v>
          </cell>
          <cell r="AY41">
            <v>4.07</v>
          </cell>
          <cell r="AZ41">
            <v>8.45</v>
          </cell>
        </row>
        <row r="42">
          <cell r="A42" t="str">
            <v>Iceland</v>
          </cell>
          <cell r="AR42" t="str">
            <v>..</v>
          </cell>
          <cell r="AS42" t="str">
            <v>..</v>
          </cell>
          <cell r="AT42" t="str">
            <v>..</v>
          </cell>
          <cell r="AU42" t="str">
            <v>..</v>
          </cell>
          <cell r="AV42">
            <v>2.91</v>
          </cell>
          <cell r="AW42">
            <v>4.42</v>
          </cell>
          <cell r="AX42">
            <v>4.59</v>
          </cell>
          <cell r="AY42">
            <v>2.68</v>
          </cell>
          <cell r="AZ42">
            <v>1.43</v>
          </cell>
        </row>
        <row r="43">
          <cell r="A43" t="str">
            <v>Israel</v>
          </cell>
          <cell r="AR43">
            <v>0.1</v>
          </cell>
          <cell r="AS43">
            <v>0.01</v>
          </cell>
          <cell r="AT43" t="str">
            <v>..</v>
          </cell>
          <cell r="AU43" t="str">
            <v>..</v>
          </cell>
          <cell r="AV43" t="str">
            <v>..</v>
          </cell>
          <cell r="AW43" t="str">
            <v>..</v>
          </cell>
          <cell r="AX43" t="str">
            <v>..</v>
          </cell>
          <cell r="AY43" t="str">
            <v>..</v>
          </cell>
          <cell r="AZ43" t="str">
            <v>..</v>
          </cell>
        </row>
        <row r="44">
          <cell r="AR44">
            <v>0.1</v>
          </cell>
          <cell r="AS44">
            <v>0.3</v>
          </cell>
          <cell r="AT44">
            <v>0.11</v>
          </cell>
          <cell r="AU44">
            <v>0.21</v>
          </cell>
          <cell r="AV44">
            <v>0.33</v>
          </cell>
          <cell r="AW44">
            <v>0.55</v>
          </cell>
          <cell r="AX44">
            <v>1.81</v>
          </cell>
          <cell r="AY44">
            <v>1.89</v>
          </cell>
          <cell r="AZ44">
            <v>6.34</v>
          </cell>
        </row>
        <row r="45">
          <cell r="A45" t="str">
            <v>Slovak Republic</v>
          </cell>
          <cell r="AR45" t="str">
            <v>..</v>
          </cell>
          <cell r="AS45" t="str">
            <v>..</v>
          </cell>
          <cell r="AT45">
            <v>0.18</v>
          </cell>
          <cell r="AU45">
            <v>0.38</v>
          </cell>
          <cell r="AV45">
            <v>4.41</v>
          </cell>
          <cell r="AW45">
            <v>1.54</v>
          </cell>
          <cell r="AX45">
            <v>1.33</v>
          </cell>
          <cell r="AY45">
            <v>0.26</v>
          </cell>
          <cell r="AZ45">
            <v>0.52</v>
          </cell>
        </row>
        <row r="46">
          <cell r="A46" t="str">
            <v>Slovenia</v>
          </cell>
          <cell r="AR46" t="str">
            <v>..</v>
          </cell>
          <cell r="AS46" t="str">
            <v>..</v>
          </cell>
          <cell r="AT46" t="str">
            <v>..</v>
          </cell>
          <cell r="AU46" t="str">
            <v>..</v>
          </cell>
          <cell r="AV46" t="str">
            <v>..</v>
          </cell>
          <cell r="AW46" t="str">
            <v>..</v>
          </cell>
          <cell r="AX46" t="str">
            <v>..</v>
          </cell>
          <cell r="AY46">
            <v>0.15</v>
          </cell>
          <cell r="AZ46">
            <v>0.14</v>
          </cell>
        </row>
        <row r="47">
          <cell r="A47" t="str">
            <v>Thailand</v>
          </cell>
          <cell r="AR47" t="str">
            <v>..</v>
          </cell>
          <cell r="AS47" t="str">
            <v>..</v>
          </cell>
          <cell r="AT47" t="str">
            <v>..</v>
          </cell>
          <cell r="AU47" t="str">
            <v>..</v>
          </cell>
          <cell r="AV47" t="str">
            <v>..</v>
          </cell>
          <cell r="AW47">
            <v>0.05</v>
          </cell>
          <cell r="AX47">
            <v>0.18</v>
          </cell>
          <cell r="AY47">
            <v>0.18</v>
          </cell>
          <cell r="AZ47">
            <v>0.09</v>
          </cell>
        </row>
        <row r="48">
          <cell r="A48" t="str">
            <v>Turkey</v>
          </cell>
          <cell r="AR48">
            <v>0.43</v>
          </cell>
          <cell r="AS48">
            <v>0.38</v>
          </cell>
          <cell r="AT48">
            <v>0.7</v>
          </cell>
          <cell r="AU48">
            <v>8.74</v>
          </cell>
          <cell r="AV48">
            <v>28.56</v>
          </cell>
          <cell r="AW48">
            <v>57.65</v>
          </cell>
          <cell r="AX48">
            <v>71.61</v>
          </cell>
          <cell r="AY48">
            <v>141.96</v>
          </cell>
          <cell r="AZ48">
            <v>96.46</v>
          </cell>
        </row>
        <row r="49">
          <cell r="A49" t="str">
            <v>United Arab Emirates</v>
          </cell>
          <cell r="AR49" t="str">
            <v>..</v>
          </cell>
          <cell r="AS49" t="str">
            <v>..</v>
          </cell>
          <cell r="AT49" t="str">
            <v>..</v>
          </cell>
          <cell r="AU49" t="str">
            <v>..</v>
          </cell>
          <cell r="AV49" t="str">
            <v>..</v>
          </cell>
          <cell r="AW49" t="str">
            <v>..</v>
          </cell>
          <cell r="AX49">
            <v>0.35</v>
          </cell>
          <cell r="AY49">
            <v>3.12</v>
          </cell>
          <cell r="AZ49">
            <v>46.84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S-profile"/>
      <sheetName val="UK-profile"/>
      <sheetName val="EC-profile"/>
      <sheetName val="Germany-profile"/>
      <sheetName val="Japan-profile"/>
      <sheetName val="Total-ODA-plus-imputed-const"/>
      <sheetName val="Imputed-multilateral-ODA-const"/>
      <sheetName val="Total-ODA-excl-debt-const"/>
      <sheetName val="Imputed-mutilat-ODA-current"/>
      <sheetName val="Total-ODA-excl-debt-current"/>
      <sheetName val="Total-ODA-plus-imputed-current"/>
    </sheetNames>
    <sheetDataSet>
      <sheetData sheetId="8">
        <row r="15">
          <cell r="N15">
            <v>48.38</v>
          </cell>
        </row>
        <row r="16">
          <cell r="N16">
            <v>68.25</v>
          </cell>
        </row>
        <row r="17">
          <cell r="N17">
            <v>119.14000000000001</v>
          </cell>
        </row>
        <row r="18">
          <cell r="N18">
            <v>79.97</v>
          </cell>
        </row>
        <row r="19">
          <cell r="N19">
            <v>104.50999999999999</v>
          </cell>
        </row>
        <row r="20">
          <cell r="N20">
            <v>55.14</v>
          </cell>
        </row>
        <row r="21">
          <cell r="N21">
            <v>570.4399999999999</v>
          </cell>
        </row>
        <row r="22">
          <cell r="N22">
            <v>638.0200000000001</v>
          </cell>
        </row>
        <row r="23">
          <cell r="N23">
            <v>42.64</v>
          </cell>
        </row>
        <row r="24">
          <cell r="N24">
            <v>43.68</v>
          </cell>
        </row>
        <row r="25">
          <cell r="N25">
            <v>360.76</v>
          </cell>
        </row>
        <row r="26">
          <cell r="N26">
            <v>362.05999999999995</v>
          </cell>
        </row>
        <row r="27">
          <cell r="N27">
            <v>25.08</v>
          </cell>
        </row>
        <row r="28">
          <cell r="N28">
            <v>13.139999999999999</v>
          </cell>
        </row>
        <row r="29">
          <cell r="N29">
            <v>212.2</v>
          </cell>
        </row>
        <row r="30">
          <cell r="N30">
            <v>5.96</v>
          </cell>
        </row>
        <row r="31">
          <cell r="N31">
            <v>86.17</v>
          </cell>
        </row>
        <row r="32">
          <cell r="N32">
            <v>36.58</v>
          </cell>
        </row>
        <row r="33">
          <cell r="N33">
            <v>235.77</v>
          </cell>
        </row>
        <row r="35">
          <cell r="N35">
            <v>45.8</v>
          </cell>
        </row>
        <row r="36">
          <cell r="N36">
            <v>522.21</v>
          </cell>
        </row>
        <row r="37">
          <cell r="N37">
            <v>278.05</v>
          </cell>
        </row>
        <row r="38">
          <cell r="N38">
            <v>23.5</v>
          </cell>
        </row>
        <row r="40">
          <cell r="N40">
            <v>13.27</v>
          </cell>
        </row>
        <row r="41">
          <cell r="N41">
            <v>9.37</v>
          </cell>
        </row>
        <row r="42">
          <cell r="N42">
            <v>0.75</v>
          </cell>
        </row>
        <row r="44">
          <cell r="N44">
            <v>31.479999999999997</v>
          </cell>
        </row>
        <row r="48">
          <cell r="N48">
            <v>4.11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ivot"/>
      <sheetName val="Download"/>
      <sheetName val="Re-apportioned-channels"/>
    </sheetNames>
    <sheetDataSet>
      <sheetData sheetId="0">
        <row r="3">
          <cell r="C3">
            <v>2007</v>
          </cell>
          <cell r="D3">
            <v>2008</v>
          </cell>
          <cell r="E3">
            <v>2009</v>
          </cell>
        </row>
        <row r="4">
          <cell r="B4" t="str">
            <v>Public sector (recipient)</v>
          </cell>
          <cell r="C4">
            <v>250.78523946192868</v>
          </cell>
          <cell r="D4">
            <v>188.54879373267482</v>
          </cell>
          <cell r="E4">
            <v>214.0529209906989</v>
          </cell>
        </row>
        <row r="5">
          <cell r="B5" t="str">
            <v>Public sector (donor)</v>
          </cell>
          <cell r="C5">
            <v>197.31211077849179</v>
          </cell>
          <cell r="D5">
            <v>314.3430060921114</v>
          </cell>
          <cell r="E5">
            <v>321.27933260472014</v>
          </cell>
        </row>
        <row r="6">
          <cell r="B6" t="str">
            <v>Public sector (unspecified)</v>
          </cell>
          <cell r="C6">
            <v>924.9782728974527</v>
          </cell>
          <cell r="D6">
            <v>1460.9419500054</v>
          </cell>
          <cell r="E6">
            <v>1701.5977529673323</v>
          </cell>
        </row>
        <row r="8">
          <cell r="B8" t="str">
            <v>International NGOs</v>
          </cell>
          <cell r="C8">
            <v>238.4506700619774</v>
          </cell>
          <cell r="D8">
            <v>349.8817309483041</v>
          </cell>
          <cell r="E8">
            <v>804.7211603565236</v>
          </cell>
        </row>
        <row r="9">
          <cell r="B9" t="str">
            <v>International Committee of the Red Cross; Red Cross and Red Crescent societies</v>
          </cell>
          <cell r="C9">
            <v>13.697334208603085</v>
          </cell>
          <cell r="D9">
            <v>27.96144299252025</v>
          </cell>
          <cell r="E9">
            <v>67.21708799700143</v>
          </cell>
        </row>
        <row r="10">
          <cell r="B10" t="str">
            <v>Local NGOs</v>
          </cell>
          <cell r="C10">
            <v>6.5898570354684916</v>
          </cell>
          <cell r="D10">
            <v>15.46002767195958</v>
          </cell>
          <cell r="E10">
            <v>28.10392015631176</v>
          </cell>
        </row>
        <row r="11">
          <cell r="B11" t="str">
            <v>UN agencies, funds and commisions </v>
          </cell>
          <cell r="C11">
            <v>658.842991777551</v>
          </cell>
          <cell r="D11">
            <v>797.0396448137448</v>
          </cell>
          <cell r="E11">
            <v>863.9277995955715</v>
          </cell>
        </row>
      </sheetData>
      <sheetData sheetId="3">
        <row r="595">
          <cell r="C595">
            <v>2.046612404791231</v>
          </cell>
          <cell r="D595">
            <v>1.8982756408223123</v>
          </cell>
          <cell r="E595">
            <v>4.208695060813388</v>
          </cell>
        </row>
        <row r="605">
          <cell r="C605">
            <v>509.37394551097873</v>
          </cell>
          <cell r="D605">
            <v>548.3317501904713</v>
          </cell>
          <cell r="E605">
            <v>708.4303002300941</v>
          </cell>
        </row>
        <row r="648">
          <cell r="C648">
            <v>1.7342786076848609</v>
          </cell>
          <cell r="D648">
            <v>0.948358574931486</v>
          </cell>
          <cell r="E648">
            <v>0.563229703383929</v>
          </cell>
        </row>
        <row r="655">
          <cell r="C655">
            <v>0</v>
          </cell>
          <cell r="D655">
            <v>0</v>
          </cell>
          <cell r="E655">
            <v>2.784312007011392</v>
          </cell>
        </row>
        <row r="660">
          <cell r="C660">
            <v>738.2605299147219</v>
          </cell>
          <cell r="D660">
            <v>830.2932142029961</v>
          </cell>
          <cell r="E660">
            <v>1061.7706854860464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fographic"/>
      <sheetName val="LOTFA"/>
      <sheetName val="ARTF"/>
      <sheetName val="ERF-2010"/>
      <sheetName val="FTS-download"/>
      <sheetName val="CNTF"/>
      <sheetName val="ANA TF"/>
      <sheetName val="Exchange-rates"/>
      <sheetName val="ARTF-analysis"/>
    </sheetNames>
    <sheetDataSet>
      <sheetData sheetId="2">
        <row r="4">
          <cell r="A4" t="str">
            <v>ARTF </v>
          </cell>
          <cell r="N4">
            <v>21636360</v>
          </cell>
        </row>
        <row r="5">
          <cell r="A5" t="str">
            <v>Australia </v>
          </cell>
          <cell r="M5">
            <v>3469773.4000000004</v>
          </cell>
          <cell r="N5">
            <v>3469773.4000000004</v>
          </cell>
        </row>
        <row r="6">
          <cell r="A6" t="str">
            <v>Belgium</v>
          </cell>
          <cell r="M6">
            <v>712651</v>
          </cell>
          <cell r="N6">
            <v>712651</v>
          </cell>
        </row>
        <row r="7">
          <cell r="A7" t="str">
            <v>Canada</v>
          </cell>
          <cell r="M7">
            <v>71313212.66</v>
          </cell>
          <cell r="N7">
            <v>90773611.66999999</v>
          </cell>
        </row>
        <row r="8">
          <cell r="N8">
            <v>820344.54</v>
          </cell>
        </row>
        <row r="9">
          <cell r="M9">
            <v>150602</v>
          </cell>
          <cell r="N9">
            <v>150602</v>
          </cell>
        </row>
        <row r="10">
          <cell r="M10">
            <v>3459223</v>
          </cell>
          <cell r="N10">
            <v>3459223</v>
          </cell>
        </row>
        <row r="11">
          <cell r="M11">
            <v>1577909.27</v>
          </cell>
          <cell r="N11">
            <v>1577909.27</v>
          </cell>
        </row>
        <row r="12">
          <cell r="M12">
            <v>317514682.2544506</v>
          </cell>
          <cell r="N12">
            <v>373802332.85445064</v>
          </cell>
        </row>
        <row r="13">
          <cell r="M13">
            <v>5185202.220000001</v>
          </cell>
          <cell r="N13">
            <v>6460712.424081633</v>
          </cell>
        </row>
        <row r="14">
          <cell r="M14">
            <v>47956241.25</v>
          </cell>
          <cell r="N14">
            <v>88956241.25</v>
          </cell>
        </row>
        <row r="15">
          <cell r="M15">
            <v>130000</v>
          </cell>
          <cell r="N15">
            <v>130000</v>
          </cell>
        </row>
        <row r="16">
          <cell r="M16">
            <v>100000</v>
          </cell>
          <cell r="N16">
            <v>100000</v>
          </cell>
        </row>
        <row r="17">
          <cell r="M17">
            <v>535715</v>
          </cell>
          <cell r="N17">
            <v>535715</v>
          </cell>
        </row>
        <row r="18">
          <cell r="M18">
            <v>3838982.507564767</v>
          </cell>
          <cell r="N18">
            <v>5059983.507564766</v>
          </cell>
        </row>
        <row r="19">
          <cell r="M19">
            <v>144622896</v>
          </cell>
          <cell r="N19">
            <v>324622896</v>
          </cell>
        </row>
        <row r="20">
          <cell r="N20">
            <v>20000</v>
          </cell>
        </row>
        <row r="21">
          <cell r="M21">
            <v>55437722.368421055</v>
          </cell>
          <cell r="N21">
            <v>68543882.26842105</v>
          </cell>
        </row>
        <row r="22">
          <cell r="M22">
            <v>13531837</v>
          </cell>
          <cell r="N22">
            <v>18531837</v>
          </cell>
        </row>
        <row r="23">
          <cell r="M23">
            <v>3373722</v>
          </cell>
          <cell r="N23">
            <v>3373722</v>
          </cell>
        </row>
        <row r="24">
          <cell r="N24">
            <v>1731500</v>
          </cell>
        </row>
        <row r="25">
          <cell r="M25">
            <v>18815728.702173915</v>
          </cell>
          <cell r="N25">
            <v>32108780.062173914</v>
          </cell>
        </row>
        <row r="26">
          <cell r="M26">
            <v>323100000</v>
          </cell>
          <cell r="N26">
            <v>547543000</v>
          </cell>
        </row>
      </sheetData>
      <sheetData sheetId="3">
        <row r="5">
          <cell r="M5">
            <v>59.6615</v>
          </cell>
        </row>
        <row r="8">
          <cell r="M8">
            <v>3.286</v>
          </cell>
        </row>
        <row r="9">
          <cell r="M9">
            <v>442.867</v>
          </cell>
        </row>
        <row r="10">
          <cell r="M10">
            <v>53.2735</v>
          </cell>
        </row>
        <row r="11">
          <cell r="M11">
            <v>316.15650000000005</v>
          </cell>
        </row>
        <row r="12">
          <cell r="M12">
            <v>29.137</v>
          </cell>
        </row>
        <row r="13">
          <cell r="M13">
            <v>6.563</v>
          </cell>
        </row>
        <row r="14">
          <cell r="M14">
            <v>201.8585</v>
          </cell>
        </row>
        <row r="15">
          <cell r="M15">
            <v>1.443</v>
          </cell>
        </row>
        <row r="16">
          <cell r="M16">
            <v>0.99</v>
          </cell>
        </row>
        <row r="17">
          <cell r="M17">
            <v>10.125</v>
          </cell>
        </row>
        <row r="18">
          <cell r="M18">
            <v>76.665</v>
          </cell>
        </row>
        <row r="19">
          <cell r="M19">
            <v>5</v>
          </cell>
        </row>
        <row r="20">
          <cell r="M20">
            <v>6</v>
          </cell>
        </row>
        <row r="21">
          <cell r="M21">
            <v>15</v>
          </cell>
        </row>
        <row r="22">
          <cell r="M22">
            <v>5.6655</v>
          </cell>
        </row>
        <row r="23">
          <cell r="M23">
            <v>291.39300000000003</v>
          </cell>
        </row>
        <row r="24">
          <cell r="M24">
            <v>0.628</v>
          </cell>
        </row>
        <row r="25">
          <cell r="M25">
            <v>164.155</v>
          </cell>
        </row>
        <row r="26">
          <cell r="M26">
            <v>2.031</v>
          </cell>
        </row>
        <row r="27">
          <cell r="M27">
            <v>1.19</v>
          </cell>
        </row>
        <row r="28">
          <cell r="M28">
            <v>2.5</v>
          </cell>
        </row>
        <row r="29">
          <cell r="M29">
            <v>25</v>
          </cell>
        </row>
        <row r="30">
          <cell r="M30">
            <v>30.843</v>
          </cell>
        </row>
        <row r="31">
          <cell r="M31">
            <v>107.3695</v>
          </cell>
        </row>
        <row r="32">
          <cell r="M32">
            <v>0.67</v>
          </cell>
        </row>
        <row r="33">
          <cell r="M33">
            <v>0.5</v>
          </cell>
        </row>
        <row r="35">
          <cell r="M35">
            <v>763.5555</v>
          </cell>
        </row>
        <row r="36">
          <cell r="M36">
            <v>508.99</v>
          </cell>
        </row>
        <row r="44">
          <cell r="B44">
            <v>138.57750000000001</v>
          </cell>
          <cell r="C44">
            <v>261.03</v>
          </cell>
          <cell r="D44">
            <v>356.8825</v>
          </cell>
          <cell r="E44">
            <v>398.12</v>
          </cell>
          <cell r="F44">
            <v>441.45074999999997</v>
          </cell>
          <cell r="G44">
            <v>589.578</v>
          </cell>
          <cell r="H44">
            <v>628.80975</v>
          </cell>
          <cell r="I44">
            <v>649.677</v>
          </cell>
        </row>
        <row r="45">
          <cell r="C45">
            <v>16.065</v>
          </cell>
          <cell r="D45">
            <v>47.775000000000006</v>
          </cell>
          <cell r="E45">
            <v>96.7</v>
          </cell>
          <cell r="F45">
            <v>130.66000000000003</v>
          </cell>
          <cell r="G45">
            <v>241.2375</v>
          </cell>
          <cell r="H45">
            <v>289.9925</v>
          </cell>
          <cell r="I45">
            <v>297.195</v>
          </cell>
        </row>
        <row r="54">
          <cell r="A54" t="str">
            <v>United States</v>
          </cell>
          <cell r="B54">
            <v>921.99</v>
          </cell>
        </row>
        <row r="55">
          <cell r="A55" t="str">
            <v>UK</v>
          </cell>
          <cell r="B55">
            <v>861.563</v>
          </cell>
        </row>
        <row r="56">
          <cell r="A56" t="str">
            <v>Canada</v>
          </cell>
          <cell r="B56">
            <v>495.182</v>
          </cell>
        </row>
        <row r="57">
          <cell r="A57" t="str">
            <v>Netherlands</v>
          </cell>
          <cell r="B57">
            <v>355.47799999999995</v>
          </cell>
        </row>
        <row r="58">
          <cell r="A58" t="str">
            <v>EC</v>
          </cell>
          <cell r="B58">
            <v>329.58900000000006</v>
          </cell>
        </row>
        <row r="59">
          <cell r="A59" t="str">
            <v>Germany</v>
          </cell>
          <cell r="B59">
            <v>239.99599999999998</v>
          </cell>
        </row>
        <row r="60">
          <cell r="A60" t="str">
            <v>Norway</v>
          </cell>
          <cell r="B60">
            <v>192.925</v>
          </cell>
        </row>
        <row r="61">
          <cell r="A61" t="str">
            <v>Sweden</v>
          </cell>
          <cell r="B61">
            <v>147.212</v>
          </cell>
        </row>
        <row r="62">
          <cell r="A62" t="str">
            <v>Australia</v>
          </cell>
          <cell r="B62">
            <v>93.454</v>
          </cell>
        </row>
        <row r="63">
          <cell r="A63" t="str">
            <v>Italy</v>
          </cell>
          <cell r="B63">
            <v>80.97999999999999</v>
          </cell>
        </row>
        <row r="64">
          <cell r="A64" t="str">
            <v>Denmark</v>
          </cell>
          <cell r="B64">
            <v>60.961</v>
          </cell>
        </row>
        <row r="65">
          <cell r="A65" t="str">
            <v>Spain</v>
          </cell>
          <cell r="B65">
            <v>57.257999999999996</v>
          </cell>
        </row>
        <row r="66">
          <cell r="A66" t="str">
            <v>Finland</v>
          </cell>
          <cell r="B66">
            <v>43.602</v>
          </cell>
        </row>
        <row r="67">
          <cell r="A67" t="str">
            <v>Saudi Arabia</v>
          </cell>
          <cell r="B67">
            <v>25</v>
          </cell>
        </row>
        <row r="68">
          <cell r="A68" t="str">
            <v>Kuwait</v>
          </cell>
          <cell r="B68">
            <v>15</v>
          </cell>
        </row>
        <row r="69">
          <cell r="A69" t="str">
            <v>Ireland</v>
          </cell>
          <cell r="B69">
            <v>14.75</v>
          </cell>
        </row>
        <row r="70">
          <cell r="A70" t="str">
            <v>France</v>
          </cell>
          <cell r="B70">
            <v>10.853</v>
          </cell>
        </row>
        <row r="71">
          <cell r="A71" t="str">
            <v>Luxembourg</v>
          </cell>
          <cell r="B71">
            <v>6.519</v>
          </cell>
        </row>
        <row r="72">
          <cell r="A72" t="str">
            <v>Korea, Republic of</v>
          </cell>
          <cell r="B72">
            <v>6</v>
          </cell>
        </row>
        <row r="73">
          <cell r="A73" t="str">
            <v>Belgium</v>
          </cell>
          <cell r="B73">
            <v>5.3260000000000005</v>
          </cell>
        </row>
        <row r="74">
          <cell r="A74" t="str">
            <v>Japan</v>
          </cell>
          <cell r="B74">
            <v>5</v>
          </cell>
        </row>
        <row r="75">
          <cell r="A75" t="str">
            <v>Russia</v>
          </cell>
          <cell r="B75">
            <v>4</v>
          </cell>
        </row>
        <row r="76">
          <cell r="A76" t="str">
            <v>Poland</v>
          </cell>
          <cell r="B76">
            <v>2.931</v>
          </cell>
        </row>
        <row r="77">
          <cell r="A77" t="str">
            <v>UNDP</v>
          </cell>
          <cell r="B77">
            <v>2.41</v>
          </cell>
        </row>
        <row r="78">
          <cell r="A78" t="str">
            <v>India</v>
          </cell>
          <cell r="B78">
            <v>1.593</v>
          </cell>
        </row>
        <row r="79">
          <cell r="A79" t="str">
            <v>Portugal</v>
          </cell>
          <cell r="B79">
            <v>1.19</v>
          </cell>
        </row>
        <row r="80">
          <cell r="A80" t="str">
            <v>Iran, Islamic Republic of</v>
          </cell>
          <cell r="B80">
            <v>0.99</v>
          </cell>
        </row>
        <row r="81">
          <cell r="A81" t="str">
            <v>Switzerland</v>
          </cell>
          <cell r="B81">
            <v>0.67</v>
          </cell>
        </row>
        <row r="82">
          <cell r="A82" t="str">
            <v>New Zealand</v>
          </cell>
          <cell r="B82">
            <v>0.628</v>
          </cell>
        </row>
        <row r="83">
          <cell r="A83" t="str">
            <v>Bahrain</v>
          </cell>
          <cell r="B83">
            <v>0.5</v>
          </cell>
        </row>
        <row r="84">
          <cell r="A84" t="str">
            <v>Turkey</v>
          </cell>
          <cell r="B84">
            <v>0.5</v>
          </cell>
        </row>
        <row r="85">
          <cell r="A85" t="str">
            <v>Brazil</v>
          </cell>
          <cell r="B85">
            <v>0.2</v>
          </cell>
        </row>
      </sheetData>
      <sheetData sheetId="4">
        <row r="5">
          <cell r="E5" t="str">
            <v>Australia</v>
          </cell>
          <cell r="F5">
            <v>0.422</v>
          </cell>
        </row>
        <row r="6">
          <cell r="E6" t="str">
            <v>Ireland</v>
          </cell>
          <cell r="F6">
            <v>0.612245</v>
          </cell>
        </row>
        <row r="7">
          <cell r="E7" t="str">
            <v>Netherlands</v>
          </cell>
          <cell r="F7">
            <v>0.7</v>
          </cell>
        </row>
        <row r="8">
          <cell r="E8" t="str">
            <v>Norway</v>
          </cell>
          <cell r="F8">
            <v>1.082261</v>
          </cell>
        </row>
        <row r="9">
          <cell r="E9" t="str">
            <v>Sweden</v>
          </cell>
          <cell r="F9">
            <v>3.45025</v>
          </cell>
        </row>
      </sheetData>
      <sheetData sheetId="6">
        <row r="4">
          <cell r="A4" t="str">
            <v>United Kingdom</v>
          </cell>
          <cell r="D4">
            <v>24374807</v>
          </cell>
        </row>
        <row r="5">
          <cell r="A5" t="str">
            <v>European Commission</v>
          </cell>
          <cell r="D5">
            <v>16481385</v>
          </cell>
        </row>
        <row r="6">
          <cell r="A6" t="str">
            <v>United States</v>
          </cell>
          <cell r="D6">
            <v>10105915</v>
          </cell>
        </row>
        <row r="7">
          <cell r="A7" t="str">
            <v>Japan</v>
          </cell>
          <cell r="D7">
            <v>5000000</v>
          </cell>
        </row>
        <row r="8">
          <cell r="A8" t="str">
            <v>Canada</v>
          </cell>
          <cell r="D8">
            <v>3448798</v>
          </cell>
        </row>
        <row r="9">
          <cell r="A9" t="str">
            <v>Sweden</v>
          </cell>
          <cell r="D9">
            <v>2000000</v>
          </cell>
        </row>
        <row r="10">
          <cell r="A10" t="str">
            <v>Italy</v>
          </cell>
          <cell r="D10">
            <v>1965191</v>
          </cell>
        </row>
        <row r="11">
          <cell r="A11" t="str">
            <v>Australia</v>
          </cell>
          <cell r="D11">
            <v>1526718</v>
          </cell>
        </row>
        <row r="12">
          <cell r="A12" t="str">
            <v>UNDP</v>
          </cell>
          <cell r="D12">
            <v>1362721</v>
          </cell>
        </row>
        <row r="13">
          <cell r="A13" t="str">
            <v>Greece</v>
          </cell>
          <cell r="D13">
            <v>442478</v>
          </cell>
        </row>
        <row r="14">
          <cell r="A14" t="str">
            <v>New Zealand</v>
          </cell>
          <cell r="D14">
            <v>352609</v>
          </cell>
        </row>
        <row r="15">
          <cell r="A15" t="str">
            <v>Spain</v>
          </cell>
          <cell r="D15">
            <v>336022</v>
          </cell>
        </row>
        <row r="16">
          <cell r="A16" t="str">
            <v>Korea</v>
          </cell>
          <cell r="D16">
            <v>200000</v>
          </cell>
        </row>
        <row r="17">
          <cell r="A17" t="str">
            <v>Poland</v>
          </cell>
          <cell r="D17">
            <v>100000</v>
          </cell>
        </row>
        <row r="18">
          <cell r="A18" t="str">
            <v>Iceland</v>
          </cell>
          <cell r="D18">
            <v>100000</v>
          </cell>
        </row>
        <row r="19">
          <cell r="A19" t="str">
            <v>Estonia</v>
          </cell>
          <cell r="D19">
            <v>50000</v>
          </cell>
        </row>
        <row r="20">
          <cell r="A20" t="str">
            <v>Latvia</v>
          </cell>
          <cell r="D20">
            <v>20000</v>
          </cell>
        </row>
        <row r="21">
          <cell r="A21" t="str">
            <v>Cyprus</v>
          </cell>
          <cell r="D21">
            <v>10000</v>
          </cell>
        </row>
      </sheetData>
      <sheetData sheetId="7">
        <row r="4">
          <cell r="A4" t="str">
            <v>Germany</v>
          </cell>
          <cell r="D4">
            <v>70281480.60964406</v>
          </cell>
        </row>
        <row r="5">
          <cell r="A5" t="str">
            <v>Australia</v>
          </cell>
          <cell r="D5">
            <v>45478592.28443346</v>
          </cell>
        </row>
        <row r="6">
          <cell r="A6" t="str">
            <v>Netherlands</v>
          </cell>
          <cell r="D6">
            <v>31767229.235559113</v>
          </cell>
        </row>
        <row r="7">
          <cell r="A7" t="str">
            <v>Norway</v>
          </cell>
          <cell r="D7">
            <v>23094380.67233045</v>
          </cell>
        </row>
        <row r="8">
          <cell r="A8" t="str">
            <v>Luxembourg</v>
          </cell>
          <cell r="D8">
            <v>13671153.60818796</v>
          </cell>
        </row>
        <row r="9">
          <cell r="A9" t="str">
            <v>Japan </v>
          </cell>
          <cell r="D9">
            <v>11914749.126272347</v>
          </cell>
        </row>
        <row r="10">
          <cell r="A10" t="str">
            <v>United Kingdom</v>
          </cell>
          <cell r="D10">
            <v>6381566.873133353</v>
          </cell>
        </row>
        <row r="11">
          <cell r="A11" t="str">
            <v>Denmark </v>
          </cell>
          <cell r="D11">
            <v>5973925.851819744</v>
          </cell>
        </row>
        <row r="12">
          <cell r="A12" t="str">
            <v>Spain</v>
          </cell>
          <cell r="D12">
            <v>5622518.448771524</v>
          </cell>
        </row>
        <row r="13">
          <cell r="A13" t="str">
            <v>Italy</v>
          </cell>
          <cell r="D13">
            <v>4357451.797797931</v>
          </cell>
        </row>
        <row r="14">
          <cell r="A14" t="str">
            <v>Turkey </v>
          </cell>
          <cell r="D14">
            <v>2108444.4182893215</v>
          </cell>
        </row>
        <row r="15">
          <cell r="A15" t="str">
            <v>Finland </v>
          </cell>
          <cell r="D15">
            <v>1546192.5734121692</v>
          </cell>
        </row>
        <row r="16">
          <cell r="A16" t="str">
            <v>Sweden</v>
          </cell>
          <cell r="D16">
            <v>1209070.5841126652</v>
          </cell>
        </row>
        <row r="17">
          <cell r="A17" t="str">
            <v>Czech republic</v>
          </cell>
          <cell r="D17">
            <v>399766.6842261042</v>
          </cell>
        </row>
        <row r="18">
          <cell r="A18" t="str">
            <v>Slovenia</v>
          </cell>
          <cell r="D18">
            <v>323294.81080436264</v>
          </cell>
        </row>
        <row r="19">
          <cell r="A19" t="str">
            <v>Bulgaria</v>
          </cell>
          <cell r="D19">
            <v>224900.73795086096</v>
          </cell>
        </row>
        <row r="20">
          <cell r="A20" t="str">
            <v>Switzerland</v>
          </cell>
          <cell r="D20">
            <v>184303.34349150618</v>
          </cell>
        </row>
        <row r="21">
          <cell r="A21" t="str">
            <v>Estonia</v>
          </cell>
          <cell r="D21">
            <v>70281.48060964406</v>
          </cell>
        </row>
        <row r="22">
          <cell r="A22" t="str">
            <v>Lithuania</v>
          </cell>
          <cell r="D22">
            <v>56225.18448771524</v>
          </cell>
        </row>
      </sheetData>
      <sheetData sheetId="9">
        <row r="1"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</row>
        <row r="4">
          <cell r="A4" t="str">
            <v>Total donor contributions to ARTF</v>
          </cell>
          <cell r="B4">
            <v>138.57750000000001</v>
          </cell>
          <cell r="C4">
            <v>261.03</v>
          </cell>
          <cell r="D4">
            <v>356.8825</v>
          </cell>
          <cell r="E4">
            <v>398.12</v>
          </cell>
          <cell r="F4">
            <v>441.45074999999997</v>
          </cell>
          <cell r="G4">
            <v>589.578</v>
          </cell>
          <cell r="H4">
            <v>628.80975</v>
          </cell>
          <cell r="I4">
            <v>649.677</v>
          </cell>
        </row>
        <row r="5">
          <cell r="A5" t="str">
            <v>Non-preferenced contributions</v>
          </cell>
          <cell r="B5">
            <v>138.57750000000001</v>
          </cell>
          <cell r="C5">
            <v>244.96499999999997</v>
          </cell>
          <cell r="D5">
            <v>309.10749999999996</v>
          </cell>
          <cell r="E5">
            <v>301.42</v>
          </cell>
          <cell r="F5">
            <v>310.79074999999995</v>
          </cell>
          <cell r="G5">
            <v>348.34049999999996</v>
          </cell>
          <cell r="H5">
            <v>338.81725</v>
          </cell>
          <cell r="I5">
            <v>352.482</v>
          </cell>
        </row>
        <row r="6">
          <cell r="A6" t="str">
            <v>Preferenced contributions</v>
          </cell>
          <cell r="C6">
            <v>16.065</v>
          </cell>
          <cell r="D6">
            <v>47.775000000000006</v>
          </cell>
          <cell r="E6">
            <v>96.7</v>
          </cell>
          <cell r="F6">
            <v>130.66000000000003</v>
          </cell>
          <cell r="G6">
            <v>241.2375</v>
          </cell>
          <cell r="H6">
            <v>289.9925</v>
          </cell>
          <cell r="I6">
            <v>297.195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mmitments-constant"/>
      <sheetName val="Disbursements-current"/>
      <sheetName val="Disbursements-constant"/>
      <sheetName val="Sheet1"/>
    </sheetNames>
    <sheetDataSet>
      <sheetData sheetId="0">
        <row r="29">
          <cell r="L29" t="str">
            <v>Sector allocable aid</v>
          </cell>
          <cell r="M29">
            <v>5293.35812543</v>
          </cell>
          <cell r="O29" t="str">
            <v>Sector allocable aid</v>
          </cell>
          <cell r="P29">
            <v>14073.990147569999</v>
          </cell>
        </row>
        <row r="30">
          <cell r="L30" t="str">
            <v>Debt relief</v>
          </cell>
          <cell r="M30">
            <v>75.6663364</v>
          </cell>
          <cell r="O30" t="str">
            <v>Debt relief</v>
          </cell>
          <cell r="P30">
            <v>78.58221076000001</v>
          </cell>
        </row>
        <row r="31">
          <cell r="L31" t="str">
            <v>Humanitarian aid</v>
          </cell>
          <cell r="M31">
            <v>1881.00787328</v>
          </cell>
          <cell r="O31" t="str">
            <v>Humanitarian aid</v>
          </cell>
          <cell r="P31">
            <v>2191.7539614899997</v>
          </cell>
        </row>
        <row r="32">
          <cell r="L32" t="str">
            <v>Commodity aid</v>
          </cell>
          <cell r="M32">
            <v>210.49175931</v>
          </cell>
          <cell r="O32" t="str">
            <v>Commodity aid</v>
          </cell>
          <cell r="P32">
            <v>297.50509817</v>
          </cell>
        </row>
        <row r="33">
          <cell r="L33" t="str">
            <v>General budget support</v>
          </cell>
          <cell r="M33">
            <v>193.22302372000001</v>
          </cell>
          <cell r="O33" t="str">
            <v>General budget support</v>
          </cell>
          <cell r="P33">
            <v>350.54575296</v>
          </cell>
        </row>
        <row r="34">
          <cell r="L34" t="str">
            <v>All other</v>
          </cell>
          <cell r="M34">
            <v>458.93524525000004</v>
          </cell>
          <cell r="O34" t="str">
            <v>All other</v>
          </cell>
          <cell r="P34">
            <v>153.20731611000002</v>
          </cell>
        </row>
        <row r="46">
          <cell r="L46" t="str">
            <v>Economic infrastructure and services</v>
          </cell>
          <cell r="M46">
            <v>1411.50336215</v>
          </cell>
          <cell r="O46" t="str">
            <v>Economic infrastructure and services</v>
          </cell>
          <cell r="P46">
            <v>3645.69296733</v>
          </cell>
        </row>
        <row r="47">
          <cell r="L47" t="str">
            <v>Multisector/ cross-cutting</v>
          </cell>
          <cell r="M47">
            <v>429.6196394</v>
          </cell>
          <cell r="O47" t="str">
            <v>Multisector/ cross-cutting</v>
          </cell>
          <cell r="P47">
            <v>962.5659647</v>
          </cell>
        </row>
        <row r="48">
          <cell r="L48" t="str">
            <v>Production services</v>
          </cell>
          <cell r="M48">
            <v>347.07698595</v>
          </cell>
          <cell r="O48" t="str">
            <v>Production services</v>
          </cell>
          <cell r="P48">
            <v>1086.3797179399999</v>
          </cell>
        </row>
        <row r="49">
          <cell r="L49" t="str">
            <v>Social infrastructure and services</v>
          </cell>
          <cell r="M49">
            <v>3105.1581379299996</v>
          </cell>
          <cell r="O49" t="str">
            <v>Social infrastructure and services</v>
          </cell>
          <cell r="P49">
            <v>12025.044464929999</v>
          </cell>
        </row>
        <row r="65">
          <cell r="L65" t="str">
            <v>Education</v>
          </cell>
          <cell r="M65">
            <v>371.39004011</v>
          </cell>
          <cell r="O65" t="str">
            <v>Education</v>
          </cell>
          <cell r="P65">
            <v>763.0585911999999</v>
          </cell>
        </row>
        <row r="66">
          <cell r="L66" t="str">
            <v>Health</v>
          </cell>
          <cell r="M66">
            <v>287.91031347</v>
          </cell>
          <cell r="O66" t="str">
            <v>Health</v>
          </cell>
          <cell r="P66">
            <v>814.5806199199999</v>
          </cell>
        </row>
        <row r="67">
          <cell r="L67" t="str">
            <v>Population programmes and reproductive health</v>
          </cell>
          <cell r="M67">
            <v>62.611654019999996</v>
          </cell>
          <cell r="O67" t="str">
            <v>Population programmes and reproductive health</v>
          </cell>
          <cell r="P67">
            <v>245.21140334</v>
          </cell>
        </row>
        <row r="68">
          <cell r="L68" t="str">
            <v>Water and sanitation</v>
          </cell>
          <cell r="M68">
            <v>129.0373939</v>
          </cell>
          <cell r="O68" t="str">
            <v>Water and sanitation</v>
          </cell>
          <cell r="P68">
            <v>238.26272421</v>
          </cell>
        </row>
        <row r="69">
          <cell r="L69" t="str">
            <v>Government and civil society</v>
          </cell>
          <cell r="M69">
            <v>1697.7393144399998</v>
          </cell>
          <cell r="O69" t="str">
            <v>Government and civil society</v>
          </cell>
          <cell r="P69">
            <v>5198.03767821</v>
          </cell>
        </row>
        <row r="70">
          <cell r="L70" t="str">
            <v>Other social infrastructure and services</v>
          </cell>
          <cell r="M70">
            <v>556.46942199</v>
          </cell>
          <cell r="O70" t="str">
            <v>Other social infrastructure and services</v>
          </cell>
          <cell r="P70">
            <v>1120.20048072</v>
          </cell>
        </row>
      </sheetData>
      <sheetData sheetId="1">
        <row r="16">
          <cell r="H16">
            <v>973.591040789999</v>
          </cell>
          <cell r="I16">
            <v>2229.49464753</v>
          </cell>
          <cell r="J16">
            <v>2686.11066773</v>
          </cell>
          <cell r="K16">
            <v>3140.00850326001</v>
          </cell>
          <cell r="L16">
            <v>3151.49477119</v>
          </cell>
          <cell r="M16">
            <v>3785.19810788</v>
          </cell>
          <cell r="N16">
            <v>5210.16487444999</v>
          </cell>
        </row>
        <row r="18">
          <cell r="H18">
            <v>63.03156993</v>
          </cell>
          <cell r="I18">
            <v>76.23287388</v>
          </cell>
          <cell r="J18">
            <v>197.35174997</v>
          </cell>
          <cell r="K18">
            <v>258.31387922</v>
          </cell>
          <cell r="L18">
            <v>155.37175744</v>
          </cell>
          <cell r="M18">
            <v>215.41104574</v>
          </cell>
          <cell r="N18">
            <v>348.24055754</v>
          </cell>
        </row>
        <row r="23">
          <cell r="H23">
            <v>26.97271634</v>
          </cell>
          <cell r="I23">
            <v>126.79304326</v>
          </cell>
          <cell r="J23">
            <v>133.59271751</v>
          </cell>
          <cell r="K23">
            <v>171.12061162</v>
          </cell>
          <cell r="L23">
            <v>297.52710144</v>
          </cell>
          <cell r="M23">
            <v>113.11086739</v>
          </cell>
          <cell r="N23">
            <v>288.60346421</v>
          </cell>
        </row>
        <row r="26">
          <cell r="H26">
            <v>7.43880861</v>
          </cell>
          <cell r="I26">
            <v>54.65812041</v>
          </cell>
          <cell r="J26">
            <v>13.30925981</v>
          </cell>
          <cell r="K26">
            <v>8.5235217</v>
          </cell>
          <cell r="L26">
            <v>38.80118453</v>
          </cell>
          <cell r="M26">
            <v>105.74984428</v>
          </cell>
          <cell r="N26">
            <v>180.32885351</v>
          </cell>
        </row>
        <row r="27">
          <cell r="H27">
            <v>44.23611112</v>
          </cell>
          <cell r="I27">
            <v>77.57527929</v>
          </cell>
          <cell r="J27">
            <v>34.08340424</v>
          </cell>
          <cell r="K27">
            <v>25.39231302</v>
          </cell>
          <cell r="L27">
            <v>196.35170161</v>
          </cell>
          <cell r="M27">
            <v>34.8754865</v>
          </cell>
          <cell r="N27">
            <v>85.54795545</v>
          </cell>
        </row>
        <row r="28">
          <cell r="H28">
            <v>440.20231991</v>
          </cell>
          <cell r="I28">
            <v>870.98850575</v>
          </cell>
          <cell r="J28">
            <v>1027.09822483</v>
          </cell>
          <cell r="K28">
            <v>869.27999609</v>
          </cell>
          <cell r="L28">
            <v>634.2369085</v>
          </cell>
          <cell r="M28">
            <v>1257.21925597</v>
          </cell>
          <cell r="N28">
            <v>2039.82437265</v>
          </cell>
        </row>
        <row r="31">
          <cell r="H31">
            <v>128.4656472</v>
          </cell>
          <cell r="I31">
            <v>68.63152734</v>
          </cell>
          <cell r="J31">
            <v>124.39267092</v>
          </cell>
          <cell r="K31">
            <v>362.11762896</v>
          </cell>
          <cell r="L31">
            <v>139.07064087</v>
          </cell>
          <cell r="M31">
            <v>348.58259145</v>
          </cell>
          <cell r="N31">
            <v>337.21266769</v>
          </cell>
        </row>
        <row r="32">
          <cell r="H32">
            <v>96.53639923</v>
          </cell>
          <cell r="I32">
            <v>357.88664167</v>
          </cell>
          <cell r="J32">
            <v>834.73585915</v>
          </cell>
          <cell r="K32">
            <v>895.52164167</v>
          </cell>
          <cell r="L32">
            <v>1097.67885651</v>
          </cell>
          <cell r="M32">
            <v>1068.95824827</v>
          </cell>
          <cell r="N32">
            <v>1120.48112635</v>
          </cell>
        </row>
        <row r="38">
          <cell r="H38">
            <v>56.5053189</v>
          </cell>
          <cell r="I38">
            <v>155.86308359</v>
          </cell>
          <cell r="J38">
            <v>222.34732817</v>
          </cell>
          <cell r="K38">
            <v>424.80813873</v>
          </cell>
          <cell r="L38">
            <v>181.71749785</v>
          </cell>
          <cell r="M38">
            <v>417.34327783</v>
          </cell>
          <cell r="N38">
            <v>580.57629133</v>
          </cell>
        </row>
        <row r="49">
          <cell r="H49">
            <v>110.20214955</v>
          </cell>
          <cell r="I49">
            <v>440.86557234</v>
          </cell>
          <cell r="J49">
            <v>99.19945313</v>
          </cell>
          <cell r="K49">
            <v>124.93077225</v>
          </cell>
          <cell r="L49">
            <v>410.73912244</v>
          </cell>
          <cell r="M49">
            <v>223.94749045</v>
          </cell>
          <cell r="N49">
            <v>229.34958572</v>
          </cell>
        </row>
        <row r="53">
          <cell r="H53">
            <v>93.71608259</v>
          </cell>
          <cell r="I53" t="str">
            <v>..</v>
          </cell>
          <cell r="J53">
            <v>77.67028082</v>
          </cell>
          <cell r="K53">
            <v>92.04188691</v>
          </cell>
          <cell r="L53">
            <v>22.40583172</v>
          </cell>
          <cell r="M53">
            <v>283.00870681</v>
          </cell>
          <cell r="N53">
            <v>0.09938627</v>
          </cell>
        </row>
        <row r="54">
          <cell r="H54">
            <v>94.419014</v>
          </cell>
          <cell r="I54">
            <v>29.86672711</v>
          </cell>
          <cell r="J54">
            <v>114.26891171</v>
          </cell>
          <cell r="K54">
            <v>88.39923889</v>
          </cell>
          <cell r="L54">
            <v>10.91882227</v>
          </cell>
          <cell r="M54">
            <v>24.03457528</v>
          </cell>
          <cell r="N54">
            <v>64.48654731</v>
          </cell>
        </row>
        <row r="55">
          <cell r="H55" t="str">
            <v>..</v>
          </cell>
          <cell r="I55" t="str">
            <v>..</v>
          </cell>
          <cell r="J55" t="str">
            <v>..</v>
          </cell>
          <cell r="K55">
            <v>11.31050678</v>
          </cell>
          <cell r="L55" t="str">
            <v>..</v>
          </cell>
          <cell r="M55" t="str">
            <v>..</v>
          </cell>
          <cell r="N55">
            <v>0.00218519</v>
          </cell>
        </row>
        <row r="56">
          <cell r="H56">
            <v>75.6663364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>
            <v>61.0969677</v>
          </cell>
          <cell r="N56">
            <v>6.69787439</v>
          </cell>
        </row>
        <row r="57">
          <cell r="H57">
            <v>1097.3690313</v>
          </cell>
          <cell r="I57">
            <v>783.1859709</v>
          </cell>
          <cell r="J57">
            <v>380.23716272</v>
          </cell>
          <cell r="K57">
            <v>503.94942071</v>
          </cell>
          <cell r="L57">
            <v>469.24081478</v>
          </cell>
          <cell r="M57">
            <v>373.54248122</v>
          </cell>
          <cell r="N57">
            <v>632.70608953</v>
          </cell>
        </row>
        <row r="61">
          <cell r="H61">
            <v>5.13227799</v>
          </cell>
          <cell r="I61">
            <v>2.74695497</v>
          </cell>
          <cell r="J61">
            <v>2.98598275</v>
          </cell>
          <cell r="K61">
            <v>0.16767963</v>
          </cell>
          <cell r="L61">
            <v>0.41433154</v>
          </cell>
          <cell r="M61">
            <v>1.30876383</v>
          </cell>
          <cell r="N61">
            <v>2.44427195</v>
          </cell>
        </row>
        <row r="62">
          <cell r="H62">
            <v>0.24183719</v>
          </cell>
          <cell r="I62">
            <v>10.45371859</v>
          </cell>
          <cell r="J62">
            <v>29.28213106</v>
          </cell>
          <cell r="K62">
            <v>13.43319393</v>
          </cell>
          <cell r="L62">
            <v>11.28019125</v>
          </cell>
          <cell r="M62">
            <v>21.60270522</v>
          </cell>
          <cell r="N62">
            <v>12.5288865</v>
          </cell>
        </row>
        <row r="63">
          <cell r="H63">
            <v>25.72888938</v>
          </cell>
          <cell r="I63">
            <v>70.45372782</v>
          </cell>
          <cell r="J63">
            <v>79.78441606</v>
          </cell>
          <cell r="K63">
            <v>32.45434052</v>
          </cell>
          <cell r="L63">
            <v>10.58373393</v>
          </cell>
          <cell r="M63">
            <v>5.87902244</v>
          </cell>
          <cell r="N63">
            <v>2.99025019</v>
          </cell>
        </row>
        <row r="64">
          <cell r="H64">
            <v>12.39281337</v>
          </cell>
          <cell r="I64">
            <v>16.13512533</v>
          </cell>
          <cell r="J64">
            <v>5.5052335</v>
          </cell>
          <cell r="K64">
            <v>8.39550447</v>
          </cell>
          <cell r="L64">
            <v>1.62741265</v>
          </cell>
          <cell r="M64">
            <v>24.00122804</v>
          </cell>
          <cell r="N64">
            <v>38.35776501</v>
          </cell>
        </row>
      </sheetData>
      <sheetData sheetId="3">
        <row r="17">
          <cell r="I17">
            <v>437.77948063</v>
          </cell>
          <cell r="J17">
            <v>893.93748354</v>
          </cell>
          <cell r="K17">
            <v>1486.07107296</v>
          </cell>
          <cell r="L17">
            <v>2475.5700883</v>
          </cell>
          <cell r="M17">
            <v>2459.59465306</v>
          </cell>
          <cell r="N17">
            <v>3050.75316865</v>
          </cell>
          <cell r="O17">
            <v>3551.82344627</v>
          </cell>
          <cell r="P17">
            <v>5011.81887959</v>
          </cell>
        </row>
        <row r="19">
          <cell r="I19">
            <v>24.11436634</v>
          </cell>
          <cell r="J19">
            <v>39.0905474</v>
          </cell>
          <cell r="K19">
            <v>102.61155507</v>
          </cell>
          <cell r="L19">
            <v>205.5735713</v>
          </cell>
          <cell r="M19">
            <v>99.17888136</v>
          </cell>
          <cell r="N19">
            <v>157.16503609</v>
          </cell>
          <cell r="O19">
            <v>231.64910495</v>
          </cell>
          <cell r="P19">
            <v>275.0655688</v>
          </cell>
        </row>
        <row r="24">
          <cell r="I24">
            <v>27.02426984</v>
          </cell>
          <cell r="J24">
            <v>28.58929735</v>
          </cell>
          <cell r="K24">
            <v>78.85826028</v>
          </cell>
          <cell r="L24">
            <v>153.438486</v>
          </cell>
          <cell r="M24">
            <v>153.36708594</v>
          </cell>
          <cell r="N24">
            <v>226.20015897</v>
          </cell>
          <cell r="O24">
            <v>196.25021017</v>
          </cell>
          <cell r="P24">
            <v>238.76316484</v>
          </cell>
        </row>
        <row r="27">
          <cell r="I27">
            <v>5.68274432</v>
          </cell>
          <cell r="J27">
            <v>25.83499113</v>
          </cell>
          <cell r="K27">
            <v>20.58149427</v>
          </cell>
          <cell r="L27">
            <v>10.5124243</v>
          </cell>
          <cell r="M27">
            <v>34.3145051</v>
          </cell>
          <cell r="N27">
            <v>31.48916135</v>
          </cell>
          <cell r="O27">
            <v>61.27717313</v>
          </cell>
          <cell r="P27">
            <v>118.13056376</v>
          </cell>
        </row>
        <row r="28">
          <cell r="I28">
            <v>12.31288673</v>
          </cell>
          <cell r="J28">
            <v>11.37160539</v>
          </cell>
          <cell r="K28">
            <v>28.86689986</v>
          </cell>
          <cell r="L28">
            <v>76.48600192</v>
          </cell>
          <cell r="M28">
            <v>35.91110187</v>
          </cell>
          <cell r="N28">
            <v>59.57576488</v>
          </cell>
          <cell r="O28">
            <v>54.76535301</v>
          </cell>
          <cell r="P28">
            <v>88.01050445</v>
          </cell>
        </row>
        <row r="29">
          <cell r="I29">
            <v>215.53179762</v>
          </cell>
          <cell r="J29">
            <v>402.48724821</v>
          </cell>
          <cell r="K29">
            <v>464.22919838</v>
          </cell>
          <cell r="L29">
            <v>615.49107023</v>
          </cell>
          <cell r="M29">
            <v>918.90248122</v>
          </cell>
          <cell r="N29">
            <v>976.67550469</v>
          </cell>
          <cell r="O29">
            <v>1364.07821653</v>
          </cell>
          <cell r="P29">
            <v>1938.38147577</v>
          </cell>
        </row>
        <row r="32">
          <cell r="I32">
            <v>37.12294518</v>
          </cell>
          <cell r="J32">
            <v>41.71228192</v>
          </cell>
          <cell r="K32">
            <v>125.47314712</v>
          </cell>
          <cell r="L32">
            <v>352.16104777</v>
          </cell>
          <cell r="M32">
            <v>129.08010951</v>
          </cell>
          <cell r="N32">
            <v>353.93251884</v>
          </cell>
          <cell r="O32">
            <v>254.94619994</v>
          </cell>
          <cell r="P32">
            <v>382.24165243</v>
          </cell>
        </row>
        <row r="33">
          <cell r="I33">
            <v>27.00608737</v>
          </cell>
          <cell r="J33">
            <v>125.14358935</v>
          </cell>
          <cell r="K33">
            <v>471.83084054</v>
          </cell>
          <cell r="L33">
            <v>787.52284489</v>
          </cell>
          <cell r="M33">
            <v>712.67274627</v>
          </cell>
          <cell r="N33">
            <v>838.04530232</v>
          </cell>
          <cell r="O33">
            <v>886.6032961</v>
          </cell>
          <cell r="P33">
            <v>1208.37162264</v>
          </cell>
        </row>
        <row r="39">
          <cell r="I39">
            <v>16.12232284</v>
          </cell>
          <cell r="J39">
            <v>38.82836256</v>
          </cell>
          <cell r="K39">
            <v>84.20003701</v>
          </cell>
          <cell r="L39">
            <v>207.92626354</v>
          </cell>
          <cell r="M39">
            <v>113.32550046</v>
          </cell>
          <cell r="N39">
            <v>153.75047332</v>
          </cell>
          <cell r="O39">
            <v>298.9772611</v>
          </cell>
          <cell r="P39">
            <v>520.32648306</v>
          </cell>
        </row>
        <row r="50">
          <cell r="I50">
            <v>72.86206039</v>
          </cell>
          <cell r="J50">
            <v>180.87956023</v>
          </cell>
          <cell r="K50">
            <v>109.41964043</v>
          </cell>
          <cell r="L50">
            <v>66.45837835</v>
          </cell>
          <cell r="M50">
            <v>262.84224133</v>
          </cell>
          <cell r="N50">
            <v>253.91924819</v>
          </cell>
          <cell r="O50">
            <v>203.27663134</v>
          </cell>
          <cell r="P50">
            <v>242.52784384</v>
          </cell>
        </row>
        <row r="54">
          <cell r="I54">
            <v>6.77486828</v>
          </cell>
          <cell r="J54">
            <v>59.71588502</v>
          </cell>
          <cell r="K54">
            <v>75.6033759</v>
          </cell>
          <cell r="L54">
            <v>51.12889452</v>
          </cell>
          <cell r="M54">
            <v>54.31951563</v>
          </cell>
          <cell r="N54">
            <v>203.75561193</v>
          </cell>
          <cell r="O54">
            <v>43.24917052</v>
          </cell>
          <cell r="P54">
            <v>49.22145488</v>
          </cell>
        </row>
        <row r="55">
          <cell r="I55">
            <v>34.20944149</v>
          </cell>
          <cell r="J55">
            <v>22.21141356</v>
          </cell>
          <cell r="K55">
            <v>65.71835929</v>
          </cell>
          <cell r="L55">
            <v>77.04203819</v>
          </cell>
          <cell r="M55">
            <v>59.84940703</v>
          </cell>
          <cell r="N55">
            <v>51.78745229</v>
          </cell>
          <cell r="O55">
            <v>68.37678468</v>
          </cell>
          <cell r="P55">
            <v>102.9951894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11.31050678</v>
          </cell>
          <cell r="M56">
            <v>0</v>
          </cell>
          <cell r="N56">
            <v>0</v>
          </cell>
          <cell r="O56">
            <v>0.00218519</v>
          </cell>
          <cell r="P56">
            <v>14.49407958</v>
          </cell>
        </row>
        <row r="57">
          <cell r="I57">
            <v>75.6663364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>
            <v>62.20756505</v>
          </cell>
          <cell r="O57">
            <v>14.89249191</v>
          </cell>
          <cell r="P57">
            <v>1.4821538</v>
          </cell>
        </row>
        <row r="58">
          <cell r="I58">
            <v>729.81820408</v>
          </cell>
          <cell r="J58">
            <v>470.07431237</v>
          </cell>
          <cell r="K58">
            <v>316.11887709</v>
          </cell>
          <cell r="L58">
            <v>364.99647974</v>
          </cell>
          <cell r="M58">
            <v>405.43436599</v>
          </cell>
          <cell r="N58">
            <v>319.17392244</v>
          </cell>
          <cell r="O58">
            <v>841.48774254</v>
          </cell>
          <cell r="P58">
            <v>625.65793052</v>
          </cell>
        </row>
        <row r="62">
          <cell r="I62">
            <v>0.44349477</v>
          </cell>
          <cell r="J62">
            <v>2.07505615</v>
          </cell>
          <cell r="K62">
            <v>1.74935114</v>
          </cell>
          <cell r="L62">
            <v>1.15254467</v>
          </cell>
          <cell r="M62">
            <v>1.08013172</v>
          </cell>
          <cell r="N62">
            <v>1.23681859</v>
          </cell>
          <cell r="O62">
            <v>2.577861</v>
          </cell>
          <cell r="P62">
            <v>2.98160141</v>
          </cell>
        </row>
        <row r="63">
          <cell r="I63">
            <v>19.81050832</v>
          </cell>
          <cell r="J63">
            <v>24.91032424</v>
          </cell>
          <cell r="K63">
            <v>41.85709918</v>
          </cell>
          <cell r="L63">
            <v>22.99702729</v>
          </cell>
          <cell r="M63">
            <v>10.71765896</v>
          </cell>
          <cell r="N63">
            <v>21.61810614</v>
          </cell>
          <cell r="O63">
            <v>12.80560735</v>
          </cell>
          <cell r="P63">
            <v>10.94953377</v>
          </cell>
        </row>
        <row r="64">
          <cell r="I64">
            <v>49.38393813</v>
          </cell>
          <cell r="J64">
            <v>23.05126042</v>
          </cell>
          <cell r="K64">
            <v>74.98884498</v>
          </cell>
          <cell r="L64">
            <v>36.15508577</v>
          </cell>
          <cell r="M64">
            <v>10.39713286</v>
          </cell>
          <cell r="N64">
            <v>5.79121142</v>
          </cell>
          <cell r="O64">
            <v>2.99025019</v>
          </cell>
          <cell r="P64">
            <v>0.64812889</v>
          </cell>
        </row>
        <row r="65">
          <cell r="I65">
            <v>12.37730641</v>
          </cell>
          <cell r="J65">
            <v>113.39698423</v>
          </cell>
          <cell r="K65">
            <v>24.11238802</v>
          </cell>
          <cell r="L65">
            <v>10.47403153</v>
          </cell>
          <cell r="M65">
            <v>10.00600589</v>
          </cell>
          <cell r="N65">
            <v>23.96544163</v>
          </cell>
          <cell r="O65">
            <v>29.77840419</v>
          </cell>
          <cell r="P65">
            <v>5.6634221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-per-capita"/>
      <sheetName val="Total-HA"/>
      <sheetName val="Population"/>
      <sheetName val="Afghanistan-FTS-2010"/>
      <sheetName val="Somalia-FTS-2010"/>
      <sheetName val="OPT-FTS-2010"/>
      <sheetName val="Iraq-FTS-2010"/>
      <sheetName val="Sudan-FTS-2010"/>
      <sheetName val="Appeals"/>
      <sheetName val="Basic-indicators"/>
      <sheetName val="ERF-data"/>
      <sheetName val="NGO-UN-share-of-appeal"/>
    </sheetNames>
    <sheetDataSet>
      <sheetData sheetId="0">
        <row r="4">
          <cell r="A4" t="str">
            <v>Afghanistan</v>
          </cell>
          <cell r="B4" t="str">
            <v>1995</v>
          </cell>
          <cell r="C4" t="str">
            <v>1996</v>
          </cell>
          <cell r="D4" t="str">
            <v>1997</v>
          </cell>
          <cell r="E4" t="str">
            <v>1998</v>
          </cell>
          <cell r="F4" t="str">
            <v>1999</v>
          </cell>
          <cell r="G4" t="str">
            <v>2000</v>
          </cell>
          <cell r="H4" t="str">
            <v>2001</v>
          </cell>
          <cell r="I4" t="str">
            <v>2002</v>
          </cell>
          <cell r="J4" t="str">
            <v>2003</v>
          </cell>
          <cell r="K4" t="str">
            <v>2004</v>
          </cell>
          <cell r="L4" t="str">
            <v>2005</v>
          </cell>
          <cell r="M4">
            <v>2006</v>
          </cell>
          <cell r="N4">
            <v>2007</v>
          </cell>
          <cell r="O4">
            <v>2008</v>
          </cell>
          <cell r="P4">
            <v>2009</v>
          </cell>
          <cell r="Q4">
            <v>2010</v>
          </cell>
        </row>
        <row r="5">
          <cell r="P5">
            <v>592.4361547659373</v>
          </cell>
        </row>
        <row r="6">
          <cell r="B6">
            <v>10.484851807522833</v>
          </cell>
          <cell r="C6">
            <v>8.073140503982822</v>
          </cell>
          <cell r="D6">
            <v>13.758365382211803</v>
          </cell>
          <cell r="E6">
            <v>8.895807301160584</v>
          </cell>
          <cell r="F6">
            <v>5.562765097628176</v>
          </cell>
          <cell r="G6">
            <v>8.390100161965242</v>
          </cell>
          <cell r="H6">
            <v>27.50434740326984</v>
          </cell>
          <cell r="I6">
            <v>39.6079577989351</v>
          </cell>
          <cell r="J6">
            <v>21.776954586949994</v>
          </cell>
          <cell r="K6">
            <v>18.43459483273819</v>
          </cell>
          <cell r="L6">
            <v>13.145569872741053</v>
          </cell>
          <cell r="M6">
            <v>13.744631344432443</v>
          </cell>
          <cell r="N6">
            <v>12.05801210948013</v>
          </cell>
          <cell r="O6">
            <v>30.810452282016932</v>
          </cell>
          <cell r="P6">
            <v>20.20270198965842</v>
          </cell>
        </row>
        <row r="8">
          <cell r="A8" t="str">
            <v>Iraq</v>
          </cell>
        </row>
        <row r="10">
          <cell r="B10">
            <v>16.635147201657006</v>
          </cell>
          <cell r="C10">
            <v>18.437479243147287</v>
          </cell>
          <cell r="D10">
            <v>13.097815587660811</v>
          </cell>
          <cell r="E10">
            <v>5.961672371171078</v>
          </cell>
          <cell r="F10">
            <v>5.715742709164647</v>
          </cell>
          <cell r="G10">
            <v>5.982328055066206</v>
          </cell>
          <cell r="H10">
            <v>7.278458790178994</v>
          </cell>
          <cell r="I10">
            <v>5.9993144962889255</v>
          </cell>
          <cell r="J10">
            <v>44.31375086814337</v>
          </cell>
          <cell r="K10">
            <v>37.63266734973393</v>
          </cell>
          <cell r="L10">
            <v>23.17116730961566</v>
          </cell>
          <cell r="M10">
            <v>15.470669061062074</v>
          </cell>
          <cell r="N10">
            <v>13.219503399950117</v>
          </cell>
          <cell r="O10">
            <v>13.331398888423337</v>
          </cell>
          <cell r="P10">
            <v>16.49302342105789</v>
          </cell>
        </row>
        <row r="13">
          <cell r="A13" t="str">
            <v>Somalia</v>
          </cell>
        </row>
        <row r="15">
          <cell r="B15">
            <v>22.059100573974526</v>
          </cell>
          <cell r="C15">
            <v>7.691595417153198</v>
          </cell>
          <cell r="D15">
            <v>7.832997577954166</v>
          </cell>
          <cell r="E15">
            <v>6.734936463673616</v>
          </cell>
          <cell r="F15">
            <v>10.232695945563309</v>
          </cell>
          <cell r="G15">
            <v>12.204379804233032</v>
          </cell>
          <cell r="H15">
            <v>14.16501750694217</v>
          </cell>
          <cell r="I15">
            <v>18.21766044288258</v>
          </cell>
          <cell r="J15">
            <v>18.588162929528178</v>
          </cell>
          <cell r="K15">
            <v>20.459188317516645</v>
          </cell>
          <cell r="L15">
            <v>24.354055360339544</v>
          </cell>
          <cell r="M15">
            <v>39.11520357707133</v>
          </cell>
          <cell r="N15">
            <v>32.09708035335361</v>
          </cell>
          <cell r="O15">
            <v>63.15556788795397</v>
          </cell>
          <cell r="P15">
            <v>58.694509372351305</v>
          </cell>
        </row>
        <row r="21">
          <cell r="A21" t="str">
            <v>Palestine/OPT</v>
          </cell>
        </row>
        <row r="23">
          <cell r="B23">
            <v>92.76847785263271</v>
          </cell>
          <cell r="C23">
            <v>73.25900182853383</v>
          </cell>
          <cell r="D23">
            <v>103.0586673563127</v>
          </cell>
          <cell r="E23">
            <v>123.47808180579767</v>
          </cell>
          <cell r="F23">
            <v>76.18517867804866</v>
          </cell>
          <cell r="G23">
            <v>87.89940748386499</v>
          </cell>
          <cell r="H23">
            <v>113.89037184245807</v>
          </cell>
          <cell r="I23">
            <v>141.83343755273143</v>
          </cell>
          <cell r="J23">
            <v>135.60390945848593</v>
          </cell>
          <cell r="K23">
            <v>158.48960169624715</v>
          </cell>
          <cell r="L23">
            <v>130.5980861244019</v>
          </cell>
          <cell r="M23">
            <v>211.5968872406274</v>
          </cell>
          <cell r="N23">
            <v>220.23817784570812</v>
          </cell>
          <cell r="O23">
            <v>192.54081466188376</v>
          </cell>
          <cell r="P23">
            <v>284.9128959157148</v>
          </cell>
        </row>
      </sheetData>
      <sheetData sheetId="1">
        <row r="3">
          <cell r="C3" t="str">
            <v>1995</v>
          </cell>
          <cell r="D3" t="str">
            <v>1996</v>
          </cell>
          <cell r="E3" t="str">
            <v>1997</v>
          </cell>
          <cell r="F3" t="str">
            <v>1998</v>
          </cell>
          <cell r="G3" t="str">
            <v>1999</v>
          </cell>
          <cell r="H3" t="str">
            <v>2000</v>
          </cell>
          <cell r="I3" t="str">
            <v>2001</v>
          </cell>
          <cell r="J3" t="str">
            <v>2002</v>
          </cell>
          <cell r="K3" t="str">
            <v>2003</v>
          </cell>
          <cell r="L3" t="str">
            <v>2004</v>
          </cell>
          <cell r="M3" t="str">
            <v>2005</v>
          </cell>
          <cell r="N3">
            <v>2006</v>
          </cell>
          <cell r="O3">
            <v>2007</v>
          </cell>
          <cell r="P3">
            <v>2008</v>
          </cell>
          <cell r="Q3">
            <v>2009</v>
          </cell>
          <cell r="R3">
            <v>2010</v>
          </cell>
        </row>
        <row r="4">
          <cell r="B4" t="str">
            <v>Total humanitarian aid (reported to the DAC)</v>
          </cell>
          <cell r="C4">
            <v>191.41145459813686</v>
          </cell>
          <cell r="D4">
            <v>151.3891453587867</v>
          </cell>
          <cell r="E4">
            <v>264.82652022296566</v>
          </cell>
          <cell r="F4">
            <v>175.64415683849526</v>
          </cell>
          <cell r="G4">
            <v>112.5948157880724</v>
          </cell>
          <cell r="H4">
            <v>173.9855070586732</v>
          </cell>
          <cell r="I4">
            <v>594.1764169528384</v>
          </cell>
          <cell r="J4">
            <v>889.9512037842727</v>
          </cell>
          <cell r="K4">
            <v>508.16523528647815</v>
          </cell>
          <cell r="L4">
            <v>446.13562954709687</v>
          </cell>
          <cell r="M4">
            <v>329.52</v>
          </cell>
          <cell r="N4">
            <v>359.166459513902</v>
          </cell>
          <cell r="O4">
            <v>327.9272857269997</v>
          </cell>
          <cell r="P4">
            <v>870.709543580255</v>
          </cell>
          <cell r="Q4">
            <v>592.4361547659373</v>
          </cell>
          <cell r="R4">
            <v>671.305758</v>
          </cell>
        </row>
      </sheetData>
      <sheetData sheetId="2">
        <row r="4">
          <cell r="B4">
            <v>18.256</v>
          </cell>
          <cell r="C4">
            <v>18.752200000000002</v>
          </cell>
          <cell r="D4">
            <v>19.2484</v>
          </cell>
          <cell r="E4">
            <v>19.7446</v>
          </cell>
          <cell r="F4">
            <v>20.2408</v>
          </cell>
          <cell r="G4">
            <v>20.737</v>
          </cell>
          <cell r="H4">
            <v>21.603</v>
          </cell>
          <cell r="I4">
            <v>22.469</v>
          </cell>
          <cell r="J4">
            <v>23.335</v>
          </cell>
          <cell r="K4">
            <v>24.201</v>
          </cell>
          <cell r="L4">
            <v>25.067</v>
          </cell>
          <cell r="M4">
            <v>26.131400000000003</v>
          </cell>
          <cell r="N4">
            <v>27.1958</v>
          </cell>
          <cell r="O4">
            <v>28.2602</v>
          </cell>
          <cell r="P4">
            <v>29.3246</v>
          </cell>
          <cell r="Q4">
            <v>30.389</v>
          </cell>
        </row>
        <row r="79">
          <cell r="B79">
            <v>21.632</v>
          </cell>
          <cell r="C79">
            <v>22.316</v>
          </cell>
          <cell r="D79">
            <v>23</v>
          </cell>
          <cell r="E79">
            <v>23.684</v>
          </cell>
          <cell r="F79">
            <v>24.368</v>
          </cell>
          <cell r="G79">
            <v>25.052</v>
          </cell>
          <cell r="H79">
            <v>25.6408</v>
          </cell>
          <cell r="I79">
            <v>26.229599999999998</v>
          </cell>
          <cell r="J79">
            <v>26.8184</v>
          </cell>
          <cell r="K79">
            <v>27.4072</v>
          </cell>
          <cell r="L79">
            <v>27.996</v>
          </cell>
          <cell r="M79">
            <v>28.5344</v>
          </cell>
          <cell r="N79">
            <v>29.0728</v>
          </cell>
          <cell r="O79">
            <v>29.6112</v>
          </cell>
          <cell r="P79">
            <v>30.1496</v>
          </cell>
          <cell r="Q79">
            <v>30.688</v>
          </cell>
        </row>
        <row r="130">
          <cell r="B130">
            <v>2.617</v>
          </cell>
          <cell r="C130">
            <v>2.7234000000000003</v>
          </cell>
          <cell r="D130">
            <v>2.8298</v>
          </cell>
          <cell r="E130">
            <v>2.9362</v>
          </cell>
          <cell r="F130">
            <v>3.0425999999999997</v>
          </cell>
          <cell r="G130">
            <v>3.149</v>
          </cell>
          <cell r="H130">
            <v>3.2716</v>
          </cell>
          <cell r="I130">
            <v>3.3941999999999997</v>
          </cell>
          <cell r="J130">
            <v>3.5168000000000004</v>
          </cell>
          <cell r="K130">
            <v>3.6394</v>
          </cell>
          <cell r="L130">
            <v>3.762</v>
          </cell>
          <cell r="M130">
            <v>3.8914</v>
          </cell>
          <cell r="N130">
            <v>4.0208</v>
          </cell>
          <cell r="O130">
            <v>4.1502</v>
          </cell>
          <cell r="P130">
            <v>4.2796</v>
          </cell>
          <cell r="Q130">
            <v>4.409</v>
          </cell>
        </row>
        <row r="148">
          <cell r="B148">
            <v>6.242</v>
          </cell>
          <cell r="C148">
            <v>6.4046</v>
          </cell>
          <cell r="D148">
            <v>6.5672</v>
          </cell>
          <cell r="E148">
            <v>6.7298</v>
          </cell>
          <cell r="F148">
            <v>6.892399999999999</v>
          </cell>
          <cell r="G148">
            <v>7.055</v>
          </cell>
          <cell r="H148">
            <v>7.2832</v>
          </cell>
          <cell r="I148">
            <v>7.5114</v>
          </cell>
          <cell r="J148">
            <v>7.7396</v>
          </cell>
          <cell r="K148">
            <v>7.9678</v>
          </cell>
          <cell r="L148">
            <v>8.196</v>
          </cell>
          <cell r="M148">
            <v>8.454</v>
          </cell>
          <cell r="N148">
            <v>8.712</v>
          </cell>
          <cell r="O148">
            <v>8.97</v>
          </cell>
          <cell r="P148">
            <v>9.228</v>
          </cell>
          <cell r="Q148">
            <v>9.486</v>
          </cell>
        </row>
        <row r="156">
          <cell r="B156">
            <v>29.492</v>
          </cell>
          <cell r="C156">
            <v>30.2634</v>
          </cell>
          <cell r="D156">
            <v>31.0348</v>
          </cell>
          <cell r="E156">
            <v>31.8062</v>
          </cell>
          <cell r="F156">
            <v>32.5776</v>
          </cell>
          <cell r="G156">
            <v>33.349</v>
          </cell>
          <cell r="H156">
            <v>34.0592</v>
          </cell>
          <cell r="I156">
            <v>34.769400000000005</v>
          </cell>
          <cell r="J156">
            <v>35.4796</v>
          </cell>
          <cell r="K156">
            <v>36.189800000000005</v>
          </cell>
          <cell r="L156">
            <v>36.9</v>
          </cell>
          <cell r="M156">
            <v>37.766</v>
          </cell>
          <cell r="N156">
            <v>38.632</v>
          </cell>
          <cell r="O156">
            <v>39.498</v>
          </cell>
          <cell r="P156">
            <v>40.364</v>
          </cell>
          <cell r="Q156">
            <v>41.23</v>
          </cell>
        </row>
      </sheetData>
      <sheetData sheetId="3">
        <row r="290">
          <cell r="D290">
            <v>671305758</v>
          </cell>
        </row>
      </sheetData>
      <sheetData sheetId="4">
        <row r="233">
          <cell r="D233">
            <v>519774934</v>
          </cell>
        </row>
      </sheetData>
      <sheetData sheetId="5">
        <row r="286">
          <cell r="D286">
            <v>356021507</v>
          </cell>
        </row>
      </sheetData>
      <sheetData sheetId="6">
        <row r="90">
          <cell r="D90">
            <v>178439027</v>
          </cell>
        </row>
      </sheetData>
      <sheetData sheetId="7">
        <row r="491">
          <cell r="D491">
            <v>1363752045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bank.org.af/WBSITE/EXTERNAL/COUNTRIES/SOUTHASIAEXT/AFGHANISTANEXTN/0,,contentMDK:21947849~pagePK:141137~piPK:141127~theSitePK:305985,00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hyperlink" Target="http://stats.oecd.org/OECDStat_Metadata/ShowMetadata.ashx?Dataset=TABLE2A&amp;Coords=%5bTIME%5d.%5b2005%5d&amp;ShowOnWeb=true&amp;Lang=en" TargetMode="External" /><Relationship Id="rId3" Type="http://schemas.openxmlformats.org/officeDocument/2006/relationships/hyperlink" Target="http://stats.oecd.org/OECDStat_Metadata/ShowMetadata.ashx?Dataset=TABLE2A&amp;Coords=%5bTIME%5d.%5b2005%5d&amp;ShowOnWeb=true&amp;Lang=en" TargetMode="External" /><Relationship Id="rId4" Type="http://schemas.openxmlformats.org/officeDocument/2006/relationships/hyperlink" Target="http://stats.oecd.org/OECDStat_Metadata/ShowMetadata.ashx?Dataset=TABLE2A&amp;Coords=%5bTIME%5d.%5b2005%5d&amp;ShowOnWeb=true&amp;Lang=en" TargetMode="External" /><Relationship Id="rId5" Type="http://schemas.openxmlformats.org/officeDocument/2006/relationships/comments" Target="../comments17.xm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esa.it/default.htm" TargetMode="External" /><Relationship Id="rId2" Type="http://schemas.openxmlformats.org/officeDocument/2006/relationships/hyperlink" Target="http://www.diw.de/deutsch%20;%20pers%20comm." TargetMode="External" /><Relationship Id="rId3" Type="http://schemas.openxmlformats.org/officeDocument/2006/relationships/hyperlink" Target="http://www2.parl.gc.ca/Sites/PBO-DPB/default.aspx" TargetMode="External" /><Relationship Id="rId4" Type="http://schemas.openxmlformats.org/officeDocument/2006/relationships/hyperlink" Target="http://www.defence.gov.au/annualreports/" TargetMode="External" /><Relationship Id="rId5" Type="http://schemas.openxmlformats.org/officeDocument/2006/relationships/hyperlink" Target="http://www2.parl.gc.ca/Sites/PBO-DPB/default.aspx" TargetMode="External" /><Relationship Id="rId6" Type="http://schemas.openxmlformats.org/officeDocument/2006/relationships/comments" Target="../comments21.xml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aidworkersecurity.org/index.php" TargetMode="External" /><Relationship Id="rId2" Type="http://schemas.openxmlformats.org/officeDocument/2006/relationships/hyperlink" Target="http://unama.unmissions.org/Default.aspx?tabid=1816" TargetMode="External" /><Relationship Id="rId3" Type="http://schemas.openxmlformats.org/officeDocument/2006/relationships/drawing" Target="../drawings/drawing1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%5bTIME%5d.%5b2005%5d&amp;ShowOnWeb=true&amp;Lang=en" TargetMode="External" /><Relationship Id="rId3" Type="http://schemas.openxmlformats.org/officeDocument/2006/relationships/hyperlink" Target="http://stats.oecd.org/OECDStat_Metadata/ShowMetadata.ashx?Dataset=TABLE2A&amp;Coords=%5bDONOR%5d.%5b918%5d&amp;ShowOnWeb=true&amp;Lang=en" TargetMode="External" /><Relationship Id="rId4" Type="http://schemas.openxmlformats.org/officeDocument/2006/relationships/hyperlink" Target="http://stats.oecd.org/OECDStat_Metadata/ShowMetadata.ashx?Dataset=TABLE2A&amp;Coords=%5bDONOR%5d.%5b811%5d&amp;ShowOnWeb=true&amp;Lang=en" TargetMode="External" /><Relationship Id="rId5" Type="http://schemas.openxmlformats.org/officeDocument/2006/relationships/hyperlink" Target="http://stats.oecd.org/OECDStat_Metadata/ShowMetadata.ashx?Dataset=TABLE2A&amp;Coords=%5bDONOR%5d.%5b963%5d&amp;ShowOnWeb=true&amp;Lang=en" TargetMode="External" /><Relationship Id="rId6" Type="http://schemas.openxmlformats.org/officeDocument/2006/relationships/hyperlink" Target="http://stats.oecd.org/OECDStat_Metadata/ShowMetadata.ashx?Dataset=TABLE2A&amp;Coords=%5bDONOR%5d.%5b960%5d&amp;ShowOnWeb=true&amp;Lang=en" TargetMode="External" /><Relationship Id="rId7" Type="http://schemas.openxmlformats.org/officeDocument/2006/relationships/hyperlink" Target="http://stats.oecd.org/OECDStat_Metadata/ShowMetadata.ashx?Dataset=TABLE2A&amp;Coords=%5bDONOR%5d.%5b928%5d&amp;ShowOnWeb=true&amp;Lang=en" TargetMode="External" /><Relationship Id="rId8" Type="http://schemas.openxmlformats.org/officeDocument/2006/relationships/hyperlink" Target="http://stats.oecd.org/WBOS/index.aspx" TargetMode="External" /><Relationship Id="rId9" Type="http://schemas.openxmlformats.org/officeDocument/2006/relationships/hyperlink" Target="http://stats.oecd.org/OECDStat_Metadata/ShowMetadata.ashx?Dataset=TABLE2A&amp;Coords=%5bDONOR%5d.%5b918%5d&amp;ShowOnWeb=true&amp;Lang=en" TargetMode="External" /><Relationship Id="rId10" Type="http://schemas.openxmlformats.org/officeDocument/2006/relationships/hyperlink" Target="http://stats.oecd.org/OECDStat_Metadata/ShowMetadata.ashx?Dataset=TABLE2A&amp;Coords=%5bTIME%5d.%5b2005%5d&amp;ShowOnWeb=true&amp;Lang=en" TargetMode="External" /><Relationship Id="rId1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3.140625" style="0" customWidth="1"/>
  </cols>
  <sheetData>
    <row r="2" spans="1:4" ht="15">
      <c r="A2" s="191" t="s">
        <v>258</v>
      </c>
      <c r="B2" s="291">
        <f>'[1]Military Ops'!$J$17</f>
        <v>242.89235365388026</v>
      </c>
      <c r="D2" s="288" t="s">
        <v>468</v>
      </c>
    </row>
    <row r="3" spans="1:4" ht="15">
      <c r="A3" s="51" t="s">
        <v>319</v>
      </c>
      <c r="B3" s="292">
        <f>'[1]SIPRI_PK_OPs'!$P$2</f>
        <v>0.77248</v>
      </c>
      <c r="D3" s="288" t="s">
        <v>514</v>
      </c>
    </row>
    <row r="4" spans="1:2" ht="15">
      <c r="A4" s="51" t="s">
        <v>259</v>
      </c>
      <c r="B4" s="292">
        <f>'[2]Security-non-ODA'!$B$9</f>
        <v>16.06262430578768</v>
      </c>
    </row>
    <row r="5" spans="1:2" ht="15">
      <c r="A5" s="51" t="s">
        <v>438</v>
      </c>
      <c r="B5" s="292">
        <f>'3.Aid'!J5</f>
        <v>26.704547400482497</v>
      </c>
    </row>
    <row r="7" ht="15">
      <c r="B7" s="293">
        <f>SUM(B2:B5)</f>
        <v>286.43200536015047</v>
      </c>
    </row>
    <row r="8" ht="15">
      <c r="B8">
        <f>(B7*1000)/'[3]Population'!$Q$4</f>
        <v>9425.515988026933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24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4.00390625" style="0" customWidth="1"/>
    <col min="2" max="2" width="23.7109375" style="0" customWidth="1"/>
  </cols>
  <sheetData>
    <row r="3" spans="2:6" ht="15">
      <c r="B3" s="176"/>
      <c r="C3" s="177">
        <v>2007</v>
      </c>
      <c r="D3" s="177">
        <v>2008</v>
      </c>
      <c r="E3" s="177">
        <v>2009</v>
      </c>
      <c r="F3" s="176"/>
    </row>
    <row r="4" spans="2:6" ht="15">
      <c r="B4" s="176" t="s">
        <v>297</v>
      </c>
      <c r="C4" s="178">
        <v>250.78523946192868</v>
      </c>
      <c r="D4" s="178">
        <v>188.54879373267482</v>
      </c>
      <c r="E4" s="178">
        <v>214.0529209906989</v>
      </c>
      <c r="F4" s="178">
        <f aca="true" t="shared" si="0" ref="F4:F10">SUM(C4:E4)</f>
        <v>653.3869541853024</v>
      </c>
    </row>
    <row r="5" spans="2:6" ht="15">
      <c r="B5" s="176" t="s">
        <v>298</v>
      </c>
      <c r="C5" s="178">
        <v>197.31211077849179</v>
      </c>
      <c r="D5" s="178">
        <v>314.3430060921114</v>
      </c>
      <c r="E5" s="178">
        <v>321.27933260472014</v>
      </c>
      <c r="F5" s="178">
        <f t="shared" si="0"/>
        <v>832.9344494753234</v>
      </c>
    </row>
    <row r="6" spans="2:6" ht="15">
      <c r="B6" s="179" t="s">
        <v>493</v>
      </c>
      <c r="C6" s="178">
        <v>924.9782728974527</v>
      </c>
      <c r="D6" s="178">
        <v>1460.9419500054</v>
      </c>
      <c r="E6" s="178">
        <v>1701.5977529673323</v>
      </c>
      <c r="F6" s="178">
        <f t="shared" si="0"/>
        <v>4087.517975870185</v>
      </c>
    </row>
    <row r="7" ht="15">
      <c r="F7">
        <f t="shared" si="0"/>
        <v>0</v>
      </c>
    </row>
    <row r="8" spans="2:6" ht="15">
      <c r="B8" t="s">
        <v>299</v>
      </c>
      <c r="C8">
        <v>238.4506700619774</v>
      </c>
      <c r="D8">
        <v>349.8817309483041</v>
      </c>
      <c r="E8">
        <v>804.7211603565236</v>
      </c>
      <c r="F8">
        <f t="shared" si="0"/>
        <v>1393.053561366805</v>
      </c>
    </row>
    <row r="9" spans="2:6" ht="15">
      <c r="B9" t="s">
        <v>449</v>
      </c>
      <c r="C9">
        <v>13.697334208603085</v>
      </c>
      <c r="D9">
        <v>27.96144299252025</v>
      </c>
      <c r="E9">
        <v>67.21708799700143</v>
      </c>
      <c r="F9">
        <f t="shared" si="0"/>
        <v>108.87586519812476</v>
      </c>
    </row>
    <row r="10" spans="2:6" ht="15">
      <c r="B10" t="s">
        <v>300</v>
      </c>
      <c r="C10">
        <v>6.5898570354684916</v>
      </c>
      <c r="D10">
        <v>15.46002767195958</v>
      </c>
      <c r="E10">
        <v>28.10392015631176</v>
      </c>
      <c r="F10">
        <f t="shared" si="0"/>
        <v>50.15380486373983</v>
      </c>
    </row>
    <row r="11" spans="2:6" s="43" customFormat="1" ht="15">
      <c r="B11" t="s">
        <v>301</v>
      </c>
      <c r="C11">
        <v>658.842991777551</v>
      </c>
      <c r="D11">
        <v>797.0396448137448</v>
      </c>
      <c r="E11">
        <v>863.9277995955715</v>
      </c>
      <c r="F11">
        <f>SUM(C11:E11)</f>
        <v>2319.8104361868673</v>
      </c>
    </row>
    <row r="12" spans="2:6" ht="15">
      <c r="B12" s="285" t="s">
        <v>302</v>
      </c>
      <c r="C12" s="286">
        <f>SUM('[6]Re-apportioned-channels'!C595+'[6]Re-apportioned-channels'!C605+'[6]Re-apportioned-channels'!C648)</f>
        <v>513.1548365234548</v>
      </c>
      <c r="D12" s="286">
        <f>SUM('[6]Re-apportioned-channels'!D595+'[6]Re-apportioned-channels'!D605+'[6]Re-apportioned-channels'!D648)</f>
        <v>551.1783844062252</v>
      </c>
      <c r="E12" s="286">
        <f>SUM('[6]Re-apportioned-channels'!E595+'[6]Re-apportioned-channels'!E605+'[6]Re-apportioned-channels'!E648)</f>
        <v>713.2022249942914</v>
      </c>
      <c r="F12" s="286">
        <f>SUM(C12:E12)</f>
        <v>1777.5354459239716</v>
      </c>
    </row>
    <row r="13" spans="2:6" ht="15">
      <c r="B13" s="285" t="s">
        <v>303</v>
      </c>
      <c r="C13" s="286">
        <f>'[6]Re-apportioned-channels'!C655+'[6]Re-apportioned-channels'!C660</f>
        <v>738.2605299147219</v>
      </c>
      <c r="D13" s="286">
        <f>'[6]Re-apportioned-channels'!D655+'[6]Re-apportioned-channels'!D660</f>
        <v>830.2932142029961</v>
      </c>
      <c r="E13" s="286">
        <f>'[6]Re-apportioned-channels'!E655+'[6]Re-apportioned-channels'!E660</f>
        <v>1064.5549974930577</v>
      </c>
      <c r="F13" s="286">
        <f>SUM(C13:E13)</f>
        <v>2633.1087416107757</v>
      </c>
    </row>
    <row r="15" spans="2:5" ht="15">
      <c r="B15" t="s">
        <v>489</v>
      </c>
      <c r="E15" s="90">
        <f>SUM(E4:E6)/E16</f>
        <v>0.3871020429562529</v>
      </c>
    </row>
    <row r="16" spans="3:5" ht="15">
      <c r="C16" s="39">
        <f>SUM(C4:C13)</f>
        <v>3542.0718426596495</v>
      </c>
      <c r="D16" s="39">
        <f>SUM(D4:D13)</f>
        <v>4535.648194865937</v>
      </c>
      <c r="E16" s="39">
        <f>SUM(E4:E13)</f>
        <v>5778.657197155508</v>
      </c>
    </row>
    <row r="18" spans="2:5" ht="15">
      <c r="B18" t="s">
        <v>483</v>
      </c>
      <c r="E18" s="39">
        <f>SUM(E8:E11)</f>
        <v>1763.9699681054083</v>
      </c>
    </row>
    <row r="19" ht="15">
      <c r="E19" s="90">
        <f>E18/E16</f>
        <v>0.30525603231382314</v>
      </c>
    </row>
    <row r="21" spans="2:5" ht="15">
      <c r="B21" t="s">
        <v>300</v>
      </c>
      <c r="E21" s="90">
        <f>E10/E16</f>
        <v>0.0048633997825906095</v>
      </c>
    </row>
    <row r="22" spans="2:5" ht="15">
      <c r="B22" t="s">
        <v>299</v>
      </c>
      <c r="E22" s="90">
        <f>E8/E16</f>
        <v>0.13925746638036263</v>
      </c>
    </row>
    <row r="23" ht="15">
      <c r="I23" s="288" t="s">
        <v>517</v>
      </c>
    </row>
    <row r="24" ht="15">
      <c r="I24" s="288" t="s">
        <v>472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.57421875" style="0" customWidth="1"/>
    <col min="2" max="2" width="23.57421875" style="0" customWidth="1"/>
  </cols>
  <sheetData>
    <row r="1" spans="2:8" ht="55.5" customHeight="1">
      <c r="B1" s="272" t="s">
        <v>215</v>
      </c>
      <c r="C1" s="342" t="s">
        <v>217</v>
      </c>
      <c r="D1" s="343"/>
      <c r="E1" s="342" t="s">
        <v>218</v>
      </c>
      <c r="F1" s="343"/>
      <c r="G1" s="342" t="s">
        <v>221</v>
      </c>
      <c r="H1" s="343"/>
    </row>
    <row r="2" spans="2:8" ht="15">
      <c r="B2" s="270" t="s">
        <v>222</v>
      </c>
      <c r="C2" s="344" t="s">
        <v>158</v>
      </c>
      <c r="D2" s="345"/>
      <c r="E2" s="344" t="s">
        <v>224</v>
      </c>
      <c r="F2" s="345"/>
      <c r="G2" s="344" t="s">
        <v>158</v>
      </c>
      <c r="H2" s="346"/>
    </row>
    <row r="3" spans="2:8" ht="25.5">
      <c r="B3" s="270" t="s">
        <v>226</v>
      </c>
      <c r="C3" s="268">
        <v>37257</v>
      </c>
      <c r="D3" s="269">
        <v>40543</v>
      </c>
      <c r="E3" s="268">
        <v>37257</v>
      </c>
      <c r="F3" s="269">
        <v>40473</v>
      </c>
      <c r="G3" s="268">
        <v>38504</v>
      </c>
      <c r="H3" s="269">
        <v>40178</v>
      </c>
    </row>
    <row r="4" spans="2:8" ht="15.75" thickBot="1">
      <c r="B4" s="271" t="s">
        <v>450</v>
      </c>
      <c r="C4" s="340" t="s">
        <v>451</v>
      </c>
      <c r="D4" s="341"/>
      <c r="E4" s="340" t="s">
        <v>452</v>
      </c>
      <c r="F4" s="341"/>
      <c r="G4" s="340" t="s">
        <v>453</v>
      </c>
      <c r="H4" s="341"/>
    </row>
    <row r="6" ht="15">
      <c r="B6" s="288" t="s">
        <v>518</v>
      </c>
    </row>
    <row r="7" ht="15">
      <c r="B7" s="288" t="s">
        <v>464</v>
      </c>
    </row>
  </sheetData>
  <sheetProtection/>
  <mergeCells count="9">
    <mergeCell ref="C4:D4"/>
    <mergeCell ref="E4:F4"/>
    <mergeCell ref="G4:H4"/>
    <mergeCell ref="C1:D1"/>
    <mergeCell ref="E1:F1"/>
    <mergeCell ref="C2:D2"/>
    <mergeCell ref="E2:F2"/>
    <mergeCell ref="G1:H1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22.28125" style="67" customWidth="1"/>
    <col min="2" max="16384" width="9.140625" style="67" customWidth="1"/>
  </cols>
  <sheetData>
    <row r="1" spans="1:10" ht="15.75" thickBot="1">
      <c r="A1" s="41"/>
      <c r="B1" s="41">
        <v>2002</v>
      </c>
      <c r="C1" s="41">
        <v>2003</v>
      </c>
      <c r="D1" s="41">
        <v>2004</v>
      </c>
      <c r="E1" s="41">
        <v>2005</v>
      </c>
      <c r="F1" s="41">
        <v>2006</v>
      </c>
      <c r="G1" s="41">
        <v>2007</v>
      </c>
      <c r="H1" s="41">
        <v>2008</v>
      </c>
      <c r="I1" s="41">
        <v>2009</v>
      </c>
      <c r="J1" s="67" t="s">
        <v>171</v>
      </c>
    </row>
    <row r="2" spans="1:10" ht="15">
      <c r="A2" s="67" t="s">
        <v>172</v>
      </c>
      <c r="B2" s="68">
        <f>('[3]2.Aid-all-donors'!B$5)*1000</f>
        <v>1361.6265302499999</v>
      </c>
      <c r="C2" s="68">
        <f>('[3]2.Aid-all-donors'!C$5)*1000</f>
        <v>1774.36550025</v>
      </c>
      <c r="D2" s="68">
        <f>('[3]2.Aid-all-donors'!D$5)*1000</f>
        <v>2429.744416875</v>
      </c>
      <c r="E2" s="68">
        <f>('[3]2.Aid-all-donors'!E$5)*1000</f>
        <v>2977.8240192499998</v>
      </c>
      <c r="F2" s="68">
        <f>('[3]2.Aid-all-donors'!F$5)*1000</f>
        <v>3052.9177287499997</v>
      </c>
      <c r="G2" s="68">
        <f>('[3]2.Aid-all-donors'!G$5)*1000</f>
        <v>3969.194997</v>
      </c>
      <c r="H2" s="68">
        <f>('[3]2.Aid-all-donors'!H$5)*1000</f>
        <v>5015.3613213275</v>
      </c>
      <c r="I2" s="68">
        <f>('[3]2.Aid-all-donors'!I$5)*1000</f>
        <v>6123.51288678</v>
      </c>
      <c r="J2" s="67">
        <f>SUM(B2:I2)</f>
        <v>26704.5474004825</v>
      </c>
    </row>
    <row r="3" spans="1:10" ht="15">
      <c r="A3" s="67" t="s">
        <v>173</v>
      </c>
      <c r="B3" s="69">
        <f>B2-B5</f>
        <v>1223.0490302499998</v>
      </c>
      <c r="C3" s="69">
        <f aca="true" t="shared" si="0" ref="C3:I3">C2-C5</f>
        <v>1513.33550025</v>
      </c>
      <c r="D3" s="69">
        <f t="shared" si="0"/>
        <v>2072.8619168749997</v>
      </c>
      <c r="E3" s="69">
        <f t="shared" si="0"/>
        <v>2579.70401925</v>
      </c>
      <c r="F3" s="69">
        <f t="shared" si="0"/>
        <v>2611.4669787499997</v>
      </c>
      <c r="G3" s="69">
        <f t="shared" si="0"/>
        <v>3379.616997</v>
      </c>
      <c r="H3" s="69">
        <f t="shared" si="0"/>
        <v>4386.5515713275</v>
      </c>
      <c r="I3" s="69">
        <f t="shared" si="0"/>
        <v>5473.835886780001</v>
      </c>
      <c r="J3" s="67">
        <f>SUM(B3:I3)</f>
        <v>23240.421900482503</v>
      </c>
    </row>
    <row r="4" spans="1:10" ht="15">
      <c r="A4" s="68" t="s">
        <v>176</v>
      </c>
      <c r="B4" s="70">
        <f aca="true" t="shared" si="1" ref="B4:I4">B5/B2</f>
        <v>0.1017735017064897</v>
      </c>
      <c r="C4" s="70">
        <f t="shared" si="1"/>
        <v>0.14711174217669473</v>
      </c>
      <c r="D4" s="70">
        <f t="shared" si="1"/>
        <v>0.14688067498844265</v>
      </c>
      <c r="E4" s="70">
        <f t="shared" si="1"/>
        <v>0.13369493879637362</v>
      </c>
      <c r="F4" s="70">
        <f t="shared" si="1"/>
        <v>0.14459962213942448</v>
      </c>
      <c r="G4" s="70">
        <f t="shared" si="1"/>
        <v>0.14853843170859968</v>
      </c>
      <c r="H4" s="70">
        <f t="shared" si="1"/>
        <v>0.12537675946218016</v>
      </c>
      <c r="I4" s="70">
        <f t="shared" si="1"/>
        <v>0.10609547362961906</v>
      </c>
      <c r="J4" s="70">
        <f>J5/I2</f>
        <v>0.5657088609184886</v>
      </c>
    </row>
    <row r="5" spans="1:10" ht="15">
      <c r="A5" s="118" t="s">
        <v>239</v>
      </c>
      <c r="B5" s="119">
        <f>'[7]ARTF'!B44</f>
        <v>138.57750000000001</v>
      </c>
      <c r="C5" s="119">
        <f>'[7]ARTF'!C44</f>
        <v>261.03</v>
      </c>
      <c r="D5" s="119">
        <f>'[7]ARTF'!D44</f>
        <v>356.8825</v>
      </c>
      <c r="E5" s="119">
        <f>'[7]ARTF'!E44</f>
        <v>398.12</v>
      </c>
      <c r="F5" s="119">
        <f>'[7]ARTF'!F44</f>
        <v>441.45074999999997</v>
      </c>
      <c r="G5" s="119">
        <f>'[7]ARTF'!G44</f>
        <v>589.578</v>
      </c>
      <c r="H5" s="119">
        <f>'[7]ARTF'!H44</f>
        <v>628.80975</v>
      </c>
      <c r="I5" s="119">
        <f>'[7]ARTF'!I44</f>
        <v>649.677</v>
      </c>
      <c r="J5" s="67">
        <f>SUM(B5:I5)</f>
        <v>3464.1255</v>
      </c>
    </row>
    <row r="6" spans="1:9" ht="15">
      <c r="A6" s="118" t="s">
        <v>174</v>
      </c>
      <c r="B6" s="119">
        <f>B5-B7</f>
        <v>138.57750000000001</v>
      </c>
      <c r="C6" s="119">
        <f aca="true" t="shared" si="2" ref="C6:I6">C5-C7</f>
        <v>244.96499999999997</v>
      </c>
      <c r="D6" s="119">
        <f t="shared" si="2"/>
        <v>309.10749999999996</v>
      </c>
      <c r="E6" s="119">
        <f t="shared" si="2"/>
        <v>301.42</v>
      </c>
      <c r="F6" s="119">
        <f t="shared" si="2"/>
        <v>310.79074999999995</v>
      </c>
      <c r="G6" s="119">
        <f t="shared" si="2"/>
        <v>348.34049999999996</v>
      </c>
      <c r="H6" s="119">
        <f t="shared" si="2"/>
        <v>338.81725</v>
      </c>
      <c r="I6" s="119">
        <f t="shared" si="2"/>
        <v>352.482</v>
      </c>
    </row>
    <row r="7" spans="1:9" ht="15">
      <c r="A7" s="118" t="s">
        <v>175</v>
      </c>
      <c r="B7" s="119"/>
      <c r="C7" s="119">
        <f>'[7]ARTF'!C45</f>
        <v>16.065</v>
      </c>
      <c r="D7" s="119">
        <f>'[7]ARTF'!D45</f>
        <v>47.775000000000006</v>
      </c>
      <c r="E7" s="119">
        <f>'[7]ARTF'!E45</f>
        <v>96.7</v>
      </c>
      <c r="F7" s="119">
        <f>'[7]ARTF'!F45</f>
        <v>130.66000000000003</v>
      </c>
      <c r="G7" s="119">
        <f>'[7]ARTF'!G45</f>
        <v>241.2375</v>
      </c>
      <c r="H7" s="119">
        <f>'[7]ARTF'!H45</f>
        <v>289.9925</v>
      </c>
      <c r="I7" s="119">
        <f>'[7]ARTF'!I45</f>
        <v>297.195</v>
      </c>
    </row>
    <row r="8" spans="1:9" ht="15">
      <c r="A8" s="67" t="s">
        <v>482</v>
      </c>
      <c r="B8" s="70">
        <f>B7/B5</f>
        <v>0</v>
      </c>
      <c r="C8" s="70">
        <f aca="true" t="shared" si="3" ref="C8:I8">C7/C5</f>
        <v>0.061544650040225274</v>
      </c>
      <c r="D8" s="70">
        <f t="shared" si="3"/>
        <v>0.13386758947272565</v>
      </c>
      <c r="E8" s="70">
        <f t="shared" si="3"/>
        <v>0.2428915904752336</v>
      </c>
      <c r="F8" s="70">
        <f t="shared" si="3"/>
        <v>0.2959786567357741</v>
      </c>
      <c r="G8" s="70">
        <f t="shared" si="3"/>
        <v>0.4091697790623124</v>
      </c>
      <c r="H8" s="70">
        <f t="shared" si="3"/>
        <v>0.4611768503907581</v>
      </c>
      <c r="I8" s="70">
        <f t="shared" si="3"/>
        <v>0.4574503945806916</v>
      </c>
    </row>
    <row r="9" ht="15"/>
    <row r="10" ht="15"/>
    <row r="11" ht="15">
      <c r="K11" s="288" t="s">
        <v>519</v>
      </c>
    </row>
    <row r="12" ht="15">
      <c r="K12" s="288" t="s">
        <v>473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1:11" ht="15" hidden="1">
      <c r="A28" s="68" t="s">
        <v>177</v>
      </c>
      <c r="B28" s="68" t="s">
        <v>178</v>
      </c>
      <c r="C28" s="68" t="s">
        <v>179</v>
      </c>
      <c r="D28" s="68" t="s">
        <v>180</v>
      </c>
      <c r="E28" s="68" t="s">
        <v>181</v>
      </c>
      <c r="F28" s="68" t="s">
        <v>182</v>
      </c>
      <c r="G28" s="68" t="s">
        <v>183</v>
      </c>
      <c r="H28" s="68" t="s">
        <v>184</v>
      </c>
      <c r="I28" s="68" t="s">
        <v>185</v>
      </c>
      <c r="J28" s="68" t="s">
        <v>186</v>
      </c>
      <c r="K28" s="68"/>
    </row>
    <row r="29" spans="1:10" ht="15" hidden="1">
      <c r="A29" s="68" t="s">
        <v>187</v>
      </c>
      <c r="B29" s="67">
        <v>59.21</v>
      </c>
      <c r="C29" s="67">
        <v>247.94</v>
      </c>
      <c r="D29" s="67">
        <v>235.16</v>
      </c>
      <c r="E29" s="67">
        <v>253.25</v>
      </c>
      <c r="F29" s="67">
        <v>300.21</v>
      </c>
      <c r="G29" s="67">
        <v>290.55</v>
      </c>
      <c r="H29" s="67">
        <v>310.06</v>
      </c>
      <c r="I29" s="67">
        <v>221.42</v>
      </c>
      <c r="J29" s="67">
        <v>288.8</v>
      </c>
    </row>
    <row r="30" spans="1:10" ht="15" hidden="1">
      <c r="A30" s="68" t="s">
        <v>188</v>
      </c>
      <c r="C30" s="67">
        <v>15.59</v>
      </c>
      <c r="D30" s="67">
        <v>58.87</v>
      </c>
      <c r="E30" s="67">
        <v>83.97</v>
      </c>
      <c r="F30" s="67">
        <v>166.14</v>
      </c>
      <c r="G30" s="67">
        <v>226.11</v>
      </c>
      <c r="H30" s="67">
        <v>251.13</v>
      </c>
      <c r="I30" s="67">
        <v>246.17</v>
      </c>
      <c r="J30" s="67">
        <v>667</v>
      </c>
    </row>
    <row r="31" ht="15">
      <c r="A31" s="68"/>
    </row>
    <row r="32" ht="15">
      <c r="A32" s="68"/>
    </row>
    <row r="33" spans="1:9" ht="15.75" thickBot="1">
      <c r="A33" s="68" t="s">
        <v>177</v>
      </c>
      <c r="B33" s="41">
        <v>2002</v>
      </c>
      <c r="C33" s="41">
        <v>2003</v>
      </c>
      <c r="D33" s="41">
        <v>2004</v>
      </c>
      <c r="E33" s="41">
        <v>2005</v>
      </c>
      <c r="F33" s="41">
        <v>2006</v>
      </c>
      <c r="G33" s="41">
        <v>2007</v>
      </c>
      <c r="H33" s="41">
        <v>2008</v>
      </c>
      <c r="I33" s="41">
        <v>2009</v>
      </c>
    </row>
    <row r="34" spans="1:9" ht="15">
      <c r="A34" s="68" t="s">
        <v>187</v>
      </c>
      <c r="B34" s="71">
        <f>B29*75%</f>
        <v>44.4075</v>
      </c>
      <c r="C34" s="71">
        <f>(B29*25%)+(C29*75%)</f>
        <v>200.7575</v>
      </c>
      <c r="D34" s="71">
        <f aca="true" t="shared" si="4" ref="D34:I35">(C29*25%)+(D29*75%)</f>
        <v>238.35500000000002</v>
      </c>
      <c r="E34" s="71">
        <f t="shared" si="4"/>
        <v>248.7275</v>
      </c>
      <c r="F34" s="71">
        <f t="shared" si="4"/>
        <v>288.46999999999997</v>
      </c>
      <c r="G34" s="71">
        <f t="shared" si="4"/>
        <v>292.96500000000003</v>
      </c>
      <c r="H34" s="71">
        <f t="shared" si="4"/>
        <v>305.1825</v>
      </c>
      <c r="I34" s="71">
        <f t="shared" si="4"/>
        <v>243.57999999999998</v>
      </c>
    </row>
    <row r="35" spans="1:9" ht="15">
      <c r="A35" s="68" t="s">
        <v>188</v>
      </c>
      <c r="B35" s="71"/>
      <c r="C35" s="71">
        <f>(B30*25%)+(C30*75%)</f>
        <v>11.692499999999999</v>
      </c>
      <c r="D35" s="71">
        <f t="shared" si="4"/>
        <v>48.05</v>
      </c>
      <c r="E35" s="71">
        <f t="shared" si="4"/>
        <v>77.695</v>
      </c>
      <c r="F35" s="71">
        <f t="shared" si="4"/>
        <v>145.5975</v>
      </c>
      <c r="G35" s="71">
        <f t="shared" si="4"/>
        <v>211.1175</v>
      </c>
      <c r="H35" s="71">
        <f t="shared" si="4"/>
        <v>244.875</v>
      </c>
      <c r="I35" s="71">
        <f t="shared" si="4"/>
        <v>247.41</v>
      </c>
    </row>
    <row r="39" spans="1:2" ht="15">
      <c r="A39" s="68" t="s">
        <v>189</v>
      </c>
      <c r="B39" s="67" t="s">
        <v>190</v>
      </c>
    </row>
    <row r="40" ht="15">
      <c r="B40" s="72" t="s">
        <v>191</v>
      </c>
    </row>
    <row r="41" ht="15">
      <c r="B41" s="68" t="s">
        <v>192</v>
      </c>
    </row>
  </sheetData>
  <sheetProtection/>
  <hyperlinks>
    <hyperlink ref="B40" r:id="rId1" display="http://www.worldbank.org.af/WBSITE/EXTERNAL/COUNTRIES/SOUTHASIAEXT/AFGHANISTANEXTN/0,,contentMDK:21947849~pagePK:141137~piPK:141127~theSitePK:305985,00.html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8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8.00390625" style="0" customWidth="1"/>
  </cols>
  <sheetData>
    <row r="5" spans="1:8" ht="15">
      <c r="A5" s="302" t="s">
        <v>299</v>
      </c>
      <c r="B5" s="302">
        <v>238.4506700619774</v>
      </c>
      <c r="C5" s="302">
        <v>349.8817309483041</v>
      </c>
      <c r="D5" s="302">
        <v>804.7211603565236</v>
      </c>
      <c r="E5" s="302">
        <f>SUM(B5:D5)</f>
        <v>1393.053561366805</v>
      </c>
      <c r="H5" s="288" t="s">
        <v>520</v>
      </c>
    </row>
    <row r="6" spans="1:8" ht="15">
      <c r="A6" s="302" t="s">
        <v>449</v>
      </c>
      <c r="B6" s="302">
        <v>13.697334208603085</v>
      </c>
      <c r="C6" s="302">
        <v>27.96144299252025</v>
      </c>
      <c r="D6" s="302">
        <v>67.21708799700143</v>
      </c>
      <c r="E6" s="302">
        <f>SUM(B6:D6)</f>
        <v>108.87586519812476</v>
      </c>
      <c r="H6" s="288" t="s">
        <v>471</v>
      </c>
    </row>
    <row r="7" spans="1:5" ht="15">
      <c r="A7" s="302" t="s">
        <v>300</v>
      </c>
      <c r="B7" s="302">
        <v>6.5898570354684916</v>
      </c>
      <c r="C7" s="302">
        <v>15.46002767195958</v>
      </c>
      <c r="D7" s="302">
        <v>28.10392015631176</v>
      </c>
      <c r="E7" s="302">
        <f>SUM(B7:D7)</f>
        <v>50.15380486373983</v>
      </c>
    </row>
    <row r="8" spans="1:5" ht="15">
      <c r="A8" s="302" t="s">
        <v>521</v>
      </c>
      <c r="B8" s="302">
        <v>658.842991777551</v>
      </c>
      <c r="C8" s="302">
        <v>797.0396448137448</v>
      </c>
      <c r="D8" s="302">
        <v>863.9277995955715</v>
      </c>
      <c r="E8" s="302">
        <f>SUM(B8:D8)</f>
        <v>2319.8104361868673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9.421875" style="0" customWidth="1"/>
    <col min="2" max="3" width="14.28125" style="0" bestFit="1" customWidth="1"/>
    <col min="4" max="4" width="14.7109375" style="0" customWidth="1"/>
    <col min="6" max="6" width="12.57421875" style="0" bestFit="1" customWidth="1"/>
  </cols>
  <sheetData>
    <row r="1" ht="15.75" thickBot="1"/>
    <row r="2" spans="1:4" ht="15">
      <c r="A2" s="295"/>
      <c r="B2" s="347" t="s">
        <v>523</v>
      </c>
      <c r="C2" s="348"/>
      <c r="D2" s="349"/>
    </row>
    <row r="3" spans="1:4" ht="15">
      <c r="A3" s="307"/>
      <c r="B3" s="308" t="s">
        <v>498</v>
      </c>
      <c r="C3" s="309" t="s">
        <v>490</v>
      </c>
      <c r="D3" s="310" t="s">
        <v>491</v>
      </c>
    </row>
    <row r="4" spans="1:4" ht="15.75" thickBot="1">
      <c r="A4" s="313" t="s">
        <v>94</v>
      </c>
      <c r="B4" s="314" t="s">
        <v>367</v>
      </c>
      <c r="C4" s="315" t="s">
        <v>367</v>
      </c>
      <c r="D4" s="316" t="s">
        <v>367</v>
      </c>
    </row>
    <row r="5" spans="1:4" ht="15">
      <c r="A5" s="317" t="s">
        <v>525</v>
      </c>
      <c r="B5" s="318">
        <v>1.586</v>
      </c>
      <c r="C5" s="319">
        <v>0</v>
      </c>
      <c r="D5" s="320">
        <v>0</v>
      </c>
    </row>
    <row r="6" spans="1:4" ht="15">
      <c r="A6" s="321" t="s">
        <v>108</v>
      </c>
      <c r="B6" s="296">
        <v>8.717974</v>
      </c>
      <c r="C6" s="297">
        <v>3.17778</v>
      </c>
      <c r="D6" s="298">
        <v>0</v>
      </c>
    </row>
    <row r="7" spans="1:4" ht="15">
      <c r="A7" s="321" t="s">
        <v>109</v>
      </c>
      <c r="B7" s="296">
        <v>0</v>
      </c>
      <c r="C7" s="297">
        <v>0</v>
      </c>
      <c r="D7" s="298">
        <v>0</v>
      </c>
    </row>
    <row r="8" spans="1:4" ht="15">
      <c r="A8" s="321" t="s">
        <v>117</v>
      </c>
      <c r="B8" s="296">
        <v>0.045</v>
      </c>
      <c r="C8" s="297">
        <v>0</v>
      </c>
      <c r="D8" s="298">
        <v>0</v>
      </c>
    </row>
    <row r="9" spans="1:4" ht="15">
      <c r="A9" s="321" t="s">
        <v>31</v>
      </c>
      <c r="B9" s="296">
        <v>0</v>
      </c>
      <c r="C9" s="297">
        <v>4.251982</v>
      </c>
      <c r="D9" s="298">
        <v>0</v>
      </c>
    </row>
    <row r="10" spans="1:4" ht="15">
      <c r="A10" s="321" t="s">
        <v>122</v>
      </c>
      <c r="B10" s="296">
        <v>5.319998</v>
      </c>
      <c r="C10" s="297">
        <v>2</v>
      </c>
      <c r="D10" s="298"/>
    </row>
    <row r="11" spans="1:4" ht="15">
      <c r="A11" s="321" t="s">
        <v>317</v>
      </c>
      <c r="B11" s="296">
        <v>0</v>
      </c>
      <c r="C11" s="297">
        <v>508.260084</v>
      </c>
      <c r="D11" s="298">
        <v>372.345267</v>
      </c>
    </row>
    <row r="12" spans="1:4" ht="15">
      <c r="A12" s="321" t="s">
        <v>524</v>
      </c>
      <c r="B12" s="296">
        <v>0</v>
      </c>
      <c r="C12" s="297">
        <v>0</v>
      </c>
      <c r="D12" s="298">
        <v>33.496807</v>
      </c>
    </row>
    <row r="13" spans="1:4" ht="15.75" thickBot="1">
      <c r="A13" s="322" t="s">
        <v>316</v>
      </c>
      <c r="B13" s="299">
        <v>15.668972</v>
      </c>
      <c r="C13" s="300">
        <v>517.689846</v>
      </c>
      <c r="D13" s="301">
        <v>405.84207399999997</v>
      </c>
    </row>
    <row r="15" spans="2:4" ht="15">
      <c r="B15" s="116"/>
      <c r="C15" s="116"/>
      <c r="D15" s="116"/>
    </row>
    <row r="16" ht="16.5" customHeight="1">
      <c r="A16" s="288" t="s">
        <v>522</v>
      </c>
    </row>
    <row r="17" ht="15">
      <c r="A17" s="288" t="s">
        <v>474</v>
      </c>
    </row>
    <row r="19" ht="15" customHeight="1"/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E73">
      <selection activeCell="R84" sqref="R84"/>
    </sheetView>
  </sheetViews>
  <sheetFormatPr defaultColWidth="9.140625" defaultRowHeight="15"/>
  <cols>
    <col min="1" max="1" width="2.421875" style="0" customWidth="1"/>
    <col min="2" max="2" width="33.7109375" style="0" customWidth="1"/>
    <col min="12" max="12" width="28.57421875" style="0" customWidth="1"/>
    <col min="13" max="13" width="9.28125" style="0" bestFit="1" customWidth="1"/>
    <col min="14" max="14" width="5.00390625" style="0" customWidth="1"/>
    <col min="15" max="15" width="17.8515625" style="0" customWidth="1"/>
    <col min="18" max="18" width="15.8515625" style="0" customWidth="1"/>
    <col min="19" max="19" width="9.140625" style="0" hidden="1" customWidth="1"/>
  </cols>
  <sheetData>
    <row r="1" s="145" customFormat="1" ht="15" hidden="1">
      <c r="B1" s="145" t="s">
        <v>232</v>
      </c>
    </row>
    <row r="2" spans="1:9" ht="15" hidden="1">
      <c r="A2" s="55"/>
      <c r="B2" s="55"/>
      <c r="C2" s="55" t="s">
        <v>86</v>
      </c>
      <c r="D2" s="55" t="s">
        <v>87</v>
      </c>
      <c r="E2" s="55" t="s">
        <v>88</v>
      </c>
      <c r="F2" s="55" t="s">
        <v>89</v>
      </c>
      <c r="G2" s="55" t="s">
        <v>90</v>
      </c>
      <c r="H2" s="55" t="s">
        <v>91</v>
      </c>
      <c r="I2" s="55" t="s">
        <v>92</v>
      </c>
    </row>
    <row r="3" spans="1:16" ht="15" hidden="1">
      <c r="A3" s="156"/>
      <c r="B3" s="156" t="s">
        <v>272</v>
      </c>
      <c r="C3" s="156">
        <f>'[8]Commitments-constant'!H16</f>
        <v>973.591040789999</v>
      </c>
      <c r="D3" s="156">
        <f>'[8]Commitments-constant'!I16</f>
        <v>2229.49464753</v>
      </c>
      <c r="E3" s="156">
        <f>'[8]Commitments-constant'!J16</f>
        <v>2686.11066773</v>
      </c>
      <c r="F3" s="156">
        <f>'[8]Commitments-constant'!K16</f>
        <v>3140.00850326001</v>
      </c>
      <c r="G3" s="156">
        <f>'[8]Commitments-constant'!L16</f>
        <v>3151.49477119</v>
      </c>
      <c r="H3" s="156">
        <f>'[8]Commitments-constant'!M16</f>
        <v>3785.19810788</v>
      </c>
      <c r="I3" s="156">
        <f>'[8]Commitments-constant'!N16</f>
        <v>5210.16487444999</v>
      </c>
      <c r="L3" s="157"/>
      <c r="M3" s="158" t="s">
        <v>273</v>
      </c>
      <c r="N3" s="158"/>
      <c r="O3" s="158"/>
      <c r="P3" s="159" t="s">
        <v>274</v>
      </c>
    </row>
    <row r="4" spans="1:18" ht="15" hidden="1">
      <c r="A4" s="156"/>
      <c r="B4" t="s">
        <v>275</v>
      </c>
      <c r="C4">
        <f>'[8]Commitments-constant'!H18</f>
        <v>63.03156993</v>
      </c>
      <c r="D4">
        <f>'[8]Commitments-constant'!I18</f>
        <v>76.23287388</v>
      </c>
      <c r="E4">
        <f>'[8]Commitments-constant'!J18</f>
        <v>197.35174997</v>
      </c>
      <c r="F4">
        <f>'[8]Commitments-constant'!K18</f>
        <v>258.31387922</v>
      </c>
      <c r="G4">
        <f>'[8]Commitments-constant'!L18</f>
        <v>155.37175744</v>
      </c>
      <c r="H4">
        <f>'[8]Commitments-constant'!M18</f>
        <v>215.41104574</v>
      </c>
      <c r="I4">
        <f>'[8]Commitments-constant'!N18</f>
        <v>348.24055754</v>
      </c>
      <c r="L4" s="160" t="str">
        <f>B4</f>
        <v>Education</v>
      </c>
      <c r="M4" s="161">
        <f aca="true" t="shared" si="0" ref="M4:M17">SUM(C4:D4)</f>
        <v>139.26444381</v>
      </c>
      <c r="N4" s="161"/>
      <c r="O4" s="161"/>
      <c r="P4" s="162">
        <f>SUM(E4:I4)</f>
        <v>1174.68898991</v>
      </c>
      <c r="R4" t="s">
        <v>208</v>
      </c>
    </row>
    <row r="5" spans="1:19" ht="15" hidden="1">
      <c r="A5" s="156"/>
      <c r="B5" t="s">
        <v>276</v>
      </c>
      <c r="C5">
        <f>'[8]Commitments-constant'!H23</f>
        <v>26.97271634</v>
      </c>
      <c r="D5">
        <f>'[8]Commitments-constant'!I23</f>
        <v>126.79304326</v>
      </c>
      <c r="E5">
        <f>'[8]Commitments-constant'!J23</f>
        <v>133.59271751</v>
      </c>
      <c r="F5">
        <f>'[8]Commitments-constant'!K23</f>
        <v>171.12061162</v>
      </c>
      <c r="G5">
        <f>'[8]Commitments-constant'!L23</f>
        <v>297.52710144</v>
      </c>
      <c r="H5">
        <f>'[8]Commitments-constant'!M23</f>
        <v>113.11086739</v>
      </c>
      <c r="I5">
        <f>'[8]Commitments-constant'!N23</f>
        <v>288.60346421</v>
      </c>
      <c r="L5" s="160" t="str">
        <f aca="true" t="shared" si="1" ref="L5:L17">B5</f>
        <v>Health</v>
      </c>
      <c r="M5" s="161">
        <f t="shared" si="0"/>
        <v>153.7657596</v>
      </c>
      <c r="N5" s="161"/>
      <c r="O5" s="161"/>
      <c r="P5" s="162">
        <f aca="true" t="shared" si="2" ref="P5:P17">SUM(E5:I5)</f>
        <v>1003.9547621700001</v>
      </c>
      <c r="R5" t="s">
        <v>209</v>
      </c>
      <c r="S5">
        <f>M8</f>
        <v>1311.19082566</v>
      </c>
    </row>
    <row r="6" spans="1:18" ht="15" hidden="1">
      <c r="A6" s="156"/>
      <c r="B6" t="s">
        <v>277</v>
      </c>
      <c r="C6">
        <f>'[8]Commitments-constant'!H26</f>
        <v>7.43880861</v>
      </c>
      <c r="D6">
        <f>'[8]Commitments-constant'!I26</f>
        <v>54.65812041</v>
      </c>
      <c r="E6">
        <f>'[8]Commitments-constant'!J26</f>
        <v>13.30925981</v>
      </c>
      <c r="F6">
        <f>'[8]Commitments-constant'!K26</f>
        <v>8.5235217</v>
      </c>
      <c r="G6">
        <f>'[8]Commitments-constant'!L26</f>
        <v>38.80118453</v>
      </c>
      <c r="H6">
        <f>'[8]Commitments-constant'!M26</f>
        <v>105.74984428</v>
      </c>
      <c r="I6">
        <f>'[8]Commitments-constant'!N26</f>
        <v>180.32885351</v>
      </c>
      <c r="L6" s="160" t="str">
        <f t="shared" si="1"/>
        <v>Population programmes and reproductive health</v>
      </c>
      <c r="M6" s="161">
        <f t="shared" si="0"/>
        <v>62.096929020000005</v>
      </c>
      <c r="N6" s="161"/>
      <c r="O6" s="161"/>
      <c r="P6" s="162">
        <f t="shared" si="2"/>
        <v>346.71266383</v>
      </c>
      <c r="R6" t="s">
        <v>278</v>
      </c>
    </row>
    <row r="7" spans="1:19" ht="15" hidden="1">
      <c r="A7" s="156"/>
      <c r="B7" t="s">
        <v>279</v>
      </c>
      <c r="C7">
        <f>'[8]Commitments-constant'!H27</f>
        <v>44.23611112</v>
      </c>
      <c r="D7">
        <f>'[8]Commitments-constant'!I27</f>
        <v>77.57527929</v>
      </c>
      <c r="E7">
        <f>'[8]Commitments-constant'!J27</f>
        <v>34.08340424</v>
      </c>
      <c r="F7">
        <f>'[8]Commitments-constant'!K27</f>
        <v>25.39231302</v>
      </c>
      <c r="G7">
        <f>'[8]Commitments-constant'!L27</f>
        <v>196.35170161</v>
      </c>
      <c r="H7">
        <f>'[8]Commitments-constant'!M27</f>
        <v>34.8754865</v>
      </c>
      <c r="I7">
        <f>'[8]Commitments-constant'!N27</f>
        <v>85.54795545</v>
      </c>
      <c r="L7" s="160" t="str">
        <f t="shared" si="1"/>
        <v>Water and sanitation</v>
      </c>
      <c r="M7" s="161">
        <f t="shared" si="0"/>
        <v>121.81139041</v>
      </c>
      <c r="N7" s="161"/>
      <c r="O7" s="161"/>
      <c r="P7" s="162">
        <f t="shared" si="2"/>
        <v>376.25086082</v>
      </c>
      <c r="R7" t="s">
        <v>280</v>
      </c>
      <c r="S7">
        <f>M4</f>
        <v>139.26444381</v>
      </c>
    </row>
    <row r="8" spans="1:18" ht="15" hidden="1">
      <c r="A8" s="156"/>
      <c r="B8" t="s">
        <v>281</v>
      </c>
      <c r="C8">
        <f>'[8]Commitments-constant'!H28</f>
        <v>440.20231991</v>
      </c>
      <c r="D8">
        <f>'[8]Commitments-constant'!I28</f>
        <v>870.98850575</v>
      </c>
      <c r="E8">
        <f>'[8]Commitments-constant'!J28</f>
        <v>1027.09822483</v>
      </c>
      <c r="F8">
        <f>'[8]Commitments-constant'!K28</f>
        <v>869.27999609</v>
      </c>
      <c r="G8">
        <f>'[8]Commitments-constant'!L28</f>
        <v>634.2369085</v>
      </c>
      <c r="H8">
        <f>'[8]Commitments-constant'!M28</f>
        <v>1257.21925597</v>
      </c>
      <c r="I8">
        <f>'[8]Commitments-constant'!N28</f>
        <v>2039.82437265</v>
      </c>
      <c r="L8" s="160" t="str">
        <f t="shared" si="1"/>
        <v>Government and civil society</v>
      </c>
      <c r="M8" s="161">
        <f t="shared" si="0"/>
        <v>1311.19082566</v>
      </c>
      <c r="N8" s="161"/>
      <c r="O8" s="161"/>
      <c r="P8" s="162">
        <f t="shared" si="2"/>
        <v>5827.658758039999</v>
      </c>
      <c r="R8" t="s">
        <v>282</v>
      </c>
    </row>
    <row r="9" spans="1:18" ht="15" hidden="1">
      <c r="A9" s="156"/>
      <c r="B9" t="s">
        <v>283</v>
      </c>
      <c r="C9">
        <f>'[8]Commitments-constant'!H31</f>
        <v>128.4656472</v>
      </c>
      <c r="D9">
        <f>'[8]Commitments-constant'!I31</f>
        <v>68.63152734</v>
      </c>
      <c r="E9">
        <f>'[8]Commitments-constant'!J31</f>
        <v>124.39267092</v>
      </c>
      <c r="F9">
        <f>'[8]Commitments-constant'!K31</f>
        <v>362.11762896</v>
      </c>
      <c r="G9">
        <f>'[8]Commitments-constant'!L31</f>
        <v>139.07064087</v>
      </c>
      <c r="H9">
        <f>'[8]Commitments-constant'!M31</f>
        <v>348.58259145</v>
      </c>
      <c r="I9">
        <f>'[8]Commitments-constant'!N31</f>
        <v>337.21266769</v>
      </c>
      <c r="L9" s="160" t="str">
        <f t="shared" si="1"/>
        <v>Other social infrastructure and services</v>
      </c>
      <c r="M9" s="161">
        <f t="shared" si="0"/>
        <v>197.09717454000003</v>
      </c>
      <c r="N9" s="161"/>
      <c r="O9" s="161"/>
      <c r="P9" s="162">
        <f t="shared" si="2"/>
        <v>1311.37619989</v>
      </c>
      <c r="R9" t="s">
        <v>284</v>
      </c>
    </row>
    <row r="10" spans="1:18" ht="15" hidden="1">
      <c r="A10" s="156"/>
      <c r="B10" t="s">
        <v>285</v>
      </c>
      <c r="C10">
        <f>'[8]Commitments-constant'!H32</f>
        <v>96.53639923</v>
      </c>
      <c r="D10">
        <f>'[8]Commitments-constant'!I32</f>
        <v>357.88664167</v>
      </c>
      <c r="E10">
        <f>'[8]Commitments-constant'!J32</f>
        <v>834.73585915</v>
      </c>
      <c r="F10">
        <f>'[8]Commitments-constant'!K32</f>
        <v>895.52164167</v>
      </c>
      <c r="G10">
        <f>'[8]Commitments-constant'!L32</f>
        <v>1097.67885651</v>
      </c>
      <c r="H10">
        <f>'[8]Commitments-constant'!M32</f>
        <v>1068.95824827</v>
      </c>
      <c r="I10">
        <f>'[8]Commitments-constant'!N32</f>
        <v>1120.48112635</v>
      </c>
      <c r="L10" s="160" t="str">
        <f t="shared" si="1"/>
        <v>Economic infrastructure and services</v>
      </c>
      <c r="M10" s="161">
        <f t="shared" si="0"/>
        <v>454.42304090000005</v>
      </c>
      <c r="N10" s="161"/>
      <c r="O10" s="161"/>
      <c r="P10" s="162">
        <f t="shared" si="2"/>
        <v>5017.37573195</v>
      </c>
      <c r="R10" t="s">
        <v>210</v>
      </c>
    </row>
    <row r="11" spans="1:18" ht="15" hidden="1">
      <c r="A11" s="156"/>
      <c r="B11" t="s">
        <v>286</v>
      </c>
      <c r="C11">
        <f>'[8]Commitments-constant'!H38</f>
        <v>56.5053189</v>
      </c>
      <c r="D11">
        <f>'[8]Commitments-constant'!I38</f>
        <v>155.86308359</v>
      </c>
      <c r="E11">
        <f>'[8]Commitments-constant'!J38</f>
        <v>222.34732817</v>
      </c>
      <c r="F11">
        <f>'[8]Commitments-constant'!K38</f>
        <v>424.80813873</v>
      </c>
      <c r="G11">
        <f>'[8]Commitments-constant'!L38</f>
        <v>181.71749785</v>
      </c>
      <c r="H11">
        <f>'[8]Commitments-constant'!M38</f>
        <v>417.34327783</v>
      </c>
      <c r="I11">
        <f>'[8]Commitments-constant'!N38</f>
        <v>580.57629133</v>
      </c>
      <c r="L11" s="160" t="str">
        <f t="shared" si="1"/>
        <v>Production sectors (including agriculture)</v>
      </c>
      <c r="M11" s="161">
        <f t="shared" si="0"/>
        <v>212.36840249</v>
      </c>
      <c r="N11" s="161"/>
      <c r="O11" s="161"/>
      <c r="P11" s="162">
        <f t="shared" si="2"/>
        <v>1826.79253391</v>
      </c>
      <c r="R11" t="s">
        <v>287</v>
      </c>
    </row>
    <row r="12" spans="1:18" ht="15" hidden="1">
      <c r="A12" s="156"/>
      <c r="B12" t="s">
        <v>288</v>
      </c>
      <c r="C12">
        <f>'[8]Commitments-constant'!H49</f>
        <v>110.20214955</v>
      </c>
      <c r="D12">
        <f>'[8]Commitments-constant'!I49</f>
        <v>440.86557234</v>
      </c>
      <c r="E12">
        <f>'[8]Commitments-constant'!J49</f>
        <v>99.19945313</v>
      </c>
      <c r="F12">
        <f>'[8]Commitments-constant'!K49</f>
        <v>124.93077225</v>
      </c>
      <c r="G12">
        <f>'[8]Commitments-constant'!L49</f>
        <v>410.73912244</v>
      </c>
      <c r="H12">
        <f>'[8]Commitments-constant'!M49</f>
        <v>223.94749045</v>
      </c>
      <c r="I12">
        <f>'[8]Commitments-constant'!N49</f>
        <v>229.34958572</v>
      </c>
      <c r="L12" s="160" t="str">
        <f t="shared" si="1"/>
        <v>Multi-sector</v>
      </c>
      <c r="M12" s="161">
        <f t="shared" si="0"/>
        <v>551.06772189</v>
      </c>
      <c r="N12" s="161"/>
      <c r="O12" s="161"/>
      <c r="P12" s="162">
        <f t="shared" si="2"/>
        <v>1088.16642399</v>
      </c>
      <c r="R12" t="s">
        <v>289</v>
      </c>
    </row>
    <row r="13" spans="2:16" ht="15" hidden="1">
      <c r="B13" t="s">
        <v>290</v>
      </c>
      <c r="C13">
        <f>'[8]Commitments-constant'!H53</f>
        <v>93.71608259</v>
      </c>
      <c r="D13" t="str">
        <f>'[8]Commitments-constant'!I53</f>
        <v>..</v>
      </c>
      <c r="E13">
        <f>'[8]Commitments-constant'!J53</f>
        <v>77.67028082</v>
      </c>
      <c r="F13">
        <f>'[8]Commitments-constant'!K53</f>
        <v>92.04188691</v>
      </c>
      <c r="G13">
        <f>'[8]Commitments-constant'!L53</f>
        <v>22.40583172</v>
      </c>
      <c r="H13">
        <f>'[8]Commitments-constant'!M53</f>
        <v>283.00870681</v>
      </c>
      <c r="I13">
        <f>'[8]Commitments-constant'!N53</f>
        <v>0.09938627</v>
      </c>
      <c r="L13" s="160" t="str">
        <f t="shared" si="1"/>
        <v>General budget support</v>
      </c>
      <c r="M13" s="161">
        <f t="shared" si="0"/>
        <v>93.71608259</v>
      </c>
      <c r="N13" s="161"/>
      <c r="O13" s="161"/>
      <c r="P13" s="162">
        <f t="shared" si="2"/>
        <v>475.22609253</v>
      </c>
    </row>
    <row r="14" spans="2:16" ht="15" hidden="1">
      <c r="B14" t="s">
        <v>291</v>
      </c>
      <c r="C14">
        <f>SUM('[8]Commitments-constant'!H54:H55)</f>
        <v>94.419014</v>
      </c>
      <c r="D14">
        <f>SUM('[8]Commitments-constant'!I54:I55)</f>
        <v>29.86672711</v>
      </c>
      <c r="E14">
        <f>SUM('[8]Commitments-constant'!J54:J55)</f>
        <v>114.26891171</v>
      </c>
      <c r="F14">
        <f>SUM('[8]Commitments-constant'!K54:K55)</f>
        <v>99.70974567</v>
      </c>
      <c r="G14">
        <f>SUM('[8]Commitments-constant'!L54:L55)</f>
        <v>10.91882227</v>
      </c>
      <c r="H14">
        <f>SUM('[8]Commitments-constant'!M54:M55)</f>
        <v>24.03457528</v>
      </c>
      <c r="I14">
        <f>SUM('[8]Commitments-constant'!N54:N55)</f>
        <v>64.48873250000001</v>
      </c>
      <c r="L14" s="160" t="str">
        <f t="shared" si="1"/>
        <v>Food aid and other commodities</v>
      </c>
      <c r="M14" s="161">
        <f t="shared" si="0"/>
        <v>124.28574111</v>
      </c>
      <c r="N14" s="161"/>
      <c r="O14" s="161"/>
      <c r="P14" s="162">
        <f t="shared" si="2"/>
        <v>313.42078743</v>
      </c>
    </row>
    <row r="15" spans="2:16" ht="15" hidden="1">
      <c r="B15" t="s">
        <v>292</v>
      </c>
      <c r="C15">
        <f>'[8]Commitments-constant'!H56</f>
        <v>75.6663364</v>
      </c>
      <c r="D15" t="str">
        <f>'[8]Commitments-constant'!I56</f>
        <v>..</v>
      </c>
      <c r="E15" t="str">
        <f>'[8]Commitments-constant'!J56</f>
        <v>..</v>
      </c>
      <c r="F15" t="str">
        <f>'[8]Commitments-constant'!K56</f>
        <v>..</v>
      </c>
      <c r="G15" t="str">
        <f>'[8]Commitments-constant'!L56</f>
        <v>..</v>
      </c>
      <c r="H15">
        <f>'[8]Commitments-constant'!M56</f>
        <v>61.0969677</v>
      </c>
      <c r="I15">
        <f>'[8]Commitments-constant'!N56</f>
        <v>6.69787439</v>
      </c>
      <c r="L15" s="160" t="str">
        <f t="shared" si="1"/>
        <v>Debt relief</v>
      </c>
      <c r="M15" s="161">
        <f t="shared" si="0"/>
        <v>75.6663364</v>
      </c>
      <c r="N15" s="161"/>
      <c r="O15" s="161"/>
      <c r="P15" s="162">
        <f t="shared" si="2"/>
        <v>67.79484209</v>
      </c>
    </row>
    <row r="16" spans="2:16" ht="15" hidden="1">
      <c r="B16" t="s">
        <v>293</v>
      </c>
      <c r="C16">
        <f>'[8]Commitments-constant'!H57</f>
        <v>1097.3690313</v>
      </c>
      <c r="D16">
        <f>'[8]Commitments-constant'!I57</f>
        <v>783.1859709</v>
      </c>
      <c r="E16">
        <f>'[8]Commitments-constant'!J57</f>
        <v>380.23716272</v>
      </c>
      <c r="F16">
        <f>'[8]Commitments-constant'!K57</f>
        <v>503.94942071</v>
      </c>
      <c r="G16">
        <f>'[8]Commitments-constant'!L57</f>
        <v>469.24081478</v>
      </c>
      <c r="H16">
        <f>'[8]Commitments-constant'!M57</f>
        <v>373.54248122</v>
      </c>
      <c r="I16">
        <f>'[8]Commitments-constant'!N57</f>
        <v>632.70608953</v>
      </c>
      <c r="L16" s="160" t="str">
        <f t="shared" si="1"/>
        <v>Humanitarian aid</v>
      </c>
      <c r="M16" s="161">
        <f t="shared" si="0"/>
        <v>1880.5550022</v>
      </c>
      <c r="N16" s="161"/>
      <c r="O16" s="161"/>
      <c r="P16" s="162">
        <f t="shared" si="2"/>
        <v>2359.6759689600003</v>
      </c>
    </row>
    <row r="17" spans="2:16" ht="15" hidden="1">
      <c r="B17" t="s">
        <v>294</v>
      </c>
      <c r="C17">
        <f>SUM('[8]Commitments-constant'!H61:H64)</f>
        <v>43.49581793</v>
      </c>
      <c r="D17">
        <f>SUM('[8]Commitments-constant'!I61:I64)</f>
        <v>99.78952670999999</v>
      </c>
      <c r="E17">
        <f>SUM('[8]Commitments-constant'!J61:J64)</f>
        <v>117.55776337</v>
      </c>
      <c r="F17">
        <f>SUM('[8]Commitments-constant'!K61:K64)</f>
        <v>54.45071855</v>
      </c>
      <c r="G17">
        <f>SUM('[8]Commitments-constant'!L61:L64)</f>
        <v>23.90566937</v>
      </c>
      <c r="H17">
        <f>SUM('[8]Commitments-constant'!M61:M64)</f>
        <v>52.79171953</v>
      </c>
      <c r="I17">
        <f>SUM('[8]Commitments-constant'!N61:N64)</f>
        <v>56.321173650000006</v>
      </c>
      <c r="L17" s="163" t="str">
        <f t="shared" si="1"/>
        <v>Other </v>
      </c>
      <c r="M17" s="164">
        <f t="shared" si="0"/>
        <v>143.28534464</v>
      </c>
      <c r="N17" s="164"/>
      <c r="O17" s="164"/>
      <c r="P17" s="165">
        <f t="shared" si="2"/>
        <v>305.02704447</v>
      </c>
    </row>
    <row r="18" ht="15" hidden="1"/>
    <row r="19" spans="2:9" ht="15" hidden="1">
      <c r="B19" t="s">
        <v>295</v>
      </c>
      <c r="C19">
        <f aca="true" t="shared" si="3" ref="C19:I19">SUM(C4:C12)</f>
        <v>973.5910407900001</v>
      </c>
      <c r="D19">
        <f t="shared" si="3"/>
        <v>2229.4946475300003</v>
      </c>
      <c r="E19">
        <f t="shared" si="3"/>
        <v>2686.11066773</v>
      </c>
      <c r="F19">
        <f t="shared" si="3"/>
        <v>3140.00850326</v>
      </c>
      <c r="G19">
        <f t="shared" si="3"/>
        <v>3151.49477119</v>
      </c>
      <c r="H19">
        <f t="shared" si="3"/>
        <v>3785.19810788</v>
      </c>
      <c r="I19">
        <f t="shared" si="3"/>
        <v>5210.16487445</v>
      </c>
    </row>
    <row r="20" ht="15" hidden="1"/>
    <row r="21" ht="15" hidden="1"/>
    <row r="22" ht="15" hidden="1"/>
    <row r="23" ht="15" hidden="1"/>
    <row r="24" ht="15" hidden="1"/>
    <row r="26" s="145" customFormat="1" ht="15">
      <c r="B26" s="145" t="s">
        <v>177</v>
      </c>
    </row>
    <row r="27" spans="2:11" ht="15">
      <c r="B27" s="55"/>
      <c r="C27" s="55" t="s">
        <v>86</v>
      </c>
      <c r="D27" s="55" t="s">
        <v>87</v>
      </c>
      <c r="E27" s="55" t="s">
        <v>88</v>
      </c>
      <c r="F27" s="55" t="s">
        <v>89</v>
      </c>
      <c r="G27" s="55" t="s">
        <v>90</v>
      </c>
      <c r="H27" s="55" t="s">
        <v>91</v>
      </c>
      <c r="I27" s="55" t="s">
        <v>92</v>
      </c>
      <c r="J27" s="55">
        <v>2009</v>
      </c>
      <c r="K27" s="166"/>
    </row>
    <row r="28" spans="1:16" ht="15.75" thickBot="1">
      <c r="A28" s="156"/>
      <c r="B28" s="156" t="s">
        <v>272</v>
      </c>
      <c r="C28">
        <f>'[8]Disbursements-constant'!I17</f>
        <v>437.77948063</v>
      </c>
      <c r="D28">
        <f>'[8]Disbursements-constant'!J17</f>
        <v>893.93748354</v>
      </c>
      <c r="E28">
        <f>'[8]Disbursements-constant'!K17</f>
        <v>1486.07107296</v>
      </c>
      <c r="F28">
        <f>'[8]Disbursements-constant'!L17</f>
        <v>2475.5700883</v>
      </c>
      <c r="G28">
        <f>'[8]Disbursements-constant'!M17</f>
        <v>2459.59465306</v>
      </c>
      <c r="H28">
        <f>'[8]Disbursements-constant'!N17</f>
        <v>3050.75316865</v>
      </c>
      <c r="I28">
        <f>'[8]Disbursements-constant'!O17</f>
        <v>3551.82344627</v>
      </c>
      <c r="J28">
        <f>'[8]Disbursements-constant'!P17</f>
        <v>5011.81887959</v>
      </c>
      <c r="L28" s="167" t="s">
        <v>454</v>
      </c>
      <c r="M28" s="168"/>
      <c r="N28" s="168"/>
      <c r="O28" s="167" t="s">
        <v>455</v>
      </c>
      <c r="P28" s="168"/>
    </row>
    <row r="29" spans="1:16" ht="15">
      <c r="A29" s="156"/>
      <c r="B29" t="s">
        <v>275</v>
      </c>
      <c r="C29">
        <f>'[8]Disbursements-constant'!I19</f>
        <v>24.11436634</v>
      </c>
      <c r="D29">
        <f>'[8]Disbursements-constant'!J19</f>
        <v>39.0905474</v>
      </c>
      <c r="E29">
        <f>'[8]Disbursements-constant'!K19</f>
        <v>102.61155507</v>
      </c>
      <c r="F29">
        <f>'[8]Disbursements-constant'!L19</f>
        <v>205.5735713</v>
      </c>
      <c r="G29">
        <f>'[8]Disbursements-constant'!M19</f>
        <v>99.17888136</v>
      </c>
      <c r="H29">
        <f>'[8]Disbursements-constant'!N19</f>
        <v>157.16503609</v>
      </c>
      <c r="I29">
        <f>'[8]Disbursements-constant'!O19</f>
        <v>231.64910495</v>
      </c>
      <c r="J29">
        <f>'[8]Disbursements-constant'!P19</f>
        <v>275.0655688</v>
      </c>
      <c r="L29" s="323" t="s">
        <v>528</v>
      </c>
      <c r="M29" s="265">
        <f>SUM(C28:F28)</f>
        <v>5293.35812543</v>
      </c>
      <c r="N29" s="170"/>
      <c r="O29" s="323" t="s">
        <v>528</v>
      </c>
      <c r="P29" s="265">
        <f>SUM(G28:J28)</f>
        <v>14073.990147569999</v>
      </c>
    </row>
    <row r="30" spans="1:16" ht="15">
      <c r="A30" s="156"/>
      <c r="B30" t="s">
        <v>276</v>
      </c>
      <c r="C30">
        <f>'[8]Disbursements-constant'!I24</f>
        <v>27.02426984</v>
      </c>
      <c r="D30">
        <f>'[8]Disbursements-constant'!J24</f>
        <v>28.58929735</v>
      </c>
      <c r="E30">
        <f>'[8]Disbursements-constant'!K24</f>
        <v>78.85826028</v>
      </c>
      <c r="F30">
        <f>'[8]Disbursements-constant'!L24</f>
        <v>153.438486</v>
      </c>
      <c r="G30">
        <f>'[8]Disbursements-constant'!M24</f>
        <v>153.36708594</v>
      </c>
      <c r="H30">
        <f>'[8]Disbursements-constant'!N24</f>
        <v>226.20015897</v>
      </c>
      <c r="I30">
        <f>'[8]Disbursements-constant'!O24</f>
        <v>196.25021017</v>
      </c>
      <c r="J30">
        <f>'[8]Disbursements-constant'!P24</f>
        <v>238.76316484</v>
      </c>
      <c r="L30" s="323" t="s">
        <v>292</v>
      </c>
      <c r="M30" s="265">
        <f>SUM(C40:F40)</f>
        <v>75.6663364</v>
      </c>
      <c r="N30" s="170"/>
      <c r="O30" s="323" t="s">
        <v>292</v>
      </c>
      <c r="P30" s="265">
        <f>SUM(G40:J40)</f>
        <v>78.58221076000001</v>
      </c>
    </row>
    <row r="31" spans="1:16" ht="15">
      <c r="A31" s="156"/>
      <c r="B31" t="s">
        <v>277</v>
      </c>
      <c r="C31">
        <f>'[8]Disbursements-constant'!I27</f>
        <v>5.68274432</v>
      </c>
      <c r="D31">
        <f>'[8]Disbursements-constant'!J27</f>
        <v>25.83499113</v>
      </c>
      <c r="E31">
        <f>'[8]Disbursements-constant'!K27</f>
        <v>20.58149427</v>
      </c>
      <c r="F31">
        <f>'[8]Disbursements-constant'!L27</f>
        <v>10.5124243</v>
      </c>
      <c r="G31">
        <f>'[8]Disbursements-constant'!M27</f>
        <v>34.3145051</v>
      </c>
      <c r="H31">
        <f>'[8]Disbursements-constant'!N27</f>
        <v>31.48916135</v>
      </c>
      <c r="I31">
        <f>'[8]Disbursements-constant'!O27</f>
        <v>61.27717313</v>
      </c>
      <c r="J31">
        <f>'[8]Disbursements-constant'!P27</f>
        <v>118.13056376</v>
      </c>
      <c r="L31" s="323" t="s">
        <v>293</v>
      </c>
      <c r="M31" s="265">
        <f>SUM(C41:F41)</f>
        <v>1881.00787328</v>
      </c>
      <c r="N31" s="170"/>
      <c r="O31" s="323" t="s">
        <v>293</v>
      </c>
      <c r="P31" s="265">
        <f>SUM(G41:J41)</f>
        <v>2191.7539614899997</v>
      </c>
    </row>
    <row r="32" spans="1:16" ht="15">
      <c r="A32" s="156"/>
      <c r="B32" t="s">
        <v>279</v>
      </c>
      <c r="C32">
        <f>'[8]Disbursements-constant'!I28</f>
        <v>12.31288673</v>
      </c>
      <c r="D32">
        <f>'[8]Disbursements-constant'!J28</f>
        <v>11.37160539</v>
      </c>
      <c r="E32">
        <f>'[8]Disbursements-constant'!K28</f>
        <v>28.86689986</v>
      </c>
      <c r="F32">
        <f>'[8]Disbursements-constant'!L28</f>
        <v>76.48600192</v>
      </c>
      <c r="G32">
        <f>'[8]Disbursements-constant'!M28</f>
        <v>35.91110187</v>
      </c>
      <c r="H32">
        <f>'[8]Disbursements-constant'!N28</f>
        <v>59.57576488</v>
      </c>
      <c r="I32">
        <f>'[8]Disbursements-constant'!O28</f>
        <v>54.76535301</v>
      </c>
      <c r="J32">
        <f>'[8]Disbursements-constant'!P28</f>
        <v>88.01050445</v>
      </c>
      <c r="L32" s="323" t="s">
        <v>527</v>
      </c>
      <c r="M32" s="265">
        <f>SUM(C39:F39)</f>
        <v>210.49175931</v>
      </c>
      <c r="N32" s="170"/>
      <c r="O32" s="323" t="s">
        <v>527</v>
      </c>
      <c r="P32" s="265">
        <f>SUM(G39:J39)</f>
        <v>297.50509817</v>
      </c>
    </row>
    <row r="33" spans="1:16" ht="15">
      <c r="A33" s="156"/>
      <c r="B33" t="s">
        <v>281</v>
      </c>
      <c r="C33">
        <f>'[8]Disbursements-constant'!I29</f>
        <v>215.53179762</v>
      </c>
      <c r="D33">
        <f>'[8]Disbursements-constant'!J29</f>
        <v>402.48724821</v>
      </c>
      <c r="E33">
        <f>'[8]Disbursements-constant'!K29</f>
        <v>464.22919838</v>
      </c>
      <c r="F33">
        <f>'[8]Disbursements-constant'!L29</f>
        <v>615.49107023</v>
      </c>
      <c r="G33">
        <f>'[8]Disbursements-constant'!M29</f>
        <v>918.90248122</v>
      </c>
      <c r="H33">
        <f>'[8]Disbursements-constant'!N29</f>
        <v>976.67550469</v>
      </c>
      <c r="I33">
        <f>'[8]Disbursements-constant'!O29</f>
        <v>1364.07821653</v>
      </c>
      <c r="J33">
        <f>'[8]Disbursements-constant'!P29</f>
        <v>1938.38147577</v>
      </c>
      <c r="L33" s="169" t="s">
        <v>290</v>
      </c>
      <c r="M33" s="265">
        <f>SUM(C38:F38)</f>
        <v>193.22302372000001</v>
      </c>
      <c r="N33" s="170"/>
      <c r="O33" s="169" t="s">
        <v>290</v>
      </c>
      <c r="P33" s="265">
        <f>SUM(G38:J38)</f>
        <v>350.54575296</v>
      </c>
    </row>
    <row r="34" spans="1:16" ht="15">
      <c r="A34" s="156"/>
      <c r="B34" t="s">
        <v>283</v>
      </c>
      <c r="C34">
        <f>'[8]Disbursements-constant'!I32</f>
        <v>37.12294518</v>
      </c>
      <c r="D34">
        <f>'[8]Disbursements-constant'!J32</f>
        <v>41.71228192</v>
      </c>
      <c r="E34">
        <f>'[8]Disbursements-constant'!K32</f>
        <v>125.47314712</v>
      </c>
      <c r="F34">
        <f>'[8]Disbursements-constant'!L32</f>
        <v>352.16104777</v>
      </c>
      <c r="G34">
        <f>'[8]Disbursements-constant'!M32</f>
        <v>129.08010951</v>
      </c>
      <c r="H34">
        <f>'[8]Disbursements-constant'!N32</f>
        <v>353.93251884</v>
      </c>
      <c r="I34">
        <f>'[8]Disbursements-constant'!O32</f>
        <v>254.94619994</v>
      </c>
      <c r="J34">
        <f>'[8]Disbursements-constant'!P32</f>
        <v>382.24165243</v>
      </c>
      <c r="L34" s="323" t="s">
        <v>529</v>
      </c>
      <c r="M34" s="265">
        <f>SUM(C42:F42)</f>
        <v>458.93524525000004</v>
      </c>
      <c r="N34" s="170"/>
      <c r="O34" s="323" t="s">
        <v>529</v>
      </c>
      <c r="P34" s="265">
        <f>SUM(G42:J42)</f>
        <v>153.20731611000002</v>
      </c>
    </row>
    <row r="35" spans="1:10" ht="15">
      <c r="A35" s="156"/>
      <c r="B35" t="s">
        <v>285</v>
      </c>
      <c r="C35">
        <f>'[8]Disbursements-constant'!I33</f>
        <v>27.00608737</v>
      </c>
      <c r="D35">
        <f>'[8]Disbursements-constant'!J33</f>
        <v>125.14358935</v>
      </c>
      <c r="E35">
        <f>'[8]Disbursements-constant'!K33</f>
        <v>471.83084054</v>
      </c>
      <c r="F35">
        <f>'[8]Disbursements-constant'!L33</f>
        <v>787.52284489</v>
      </c>
      <c r="G35">
        <f>'[8]Disbursements-constant'!M33</f>
        <v>712.67274627</v>
      </c>
      <c r="H35">
        <f>'[8]Disbursements-constant'!N33</f>
        <v>838.04530232</v>
      </c>
      <c r="I35">
        <f>'[8]Disbursements-constant'!O33</f>
        <v>886.6032961</v>
      </c>
      <c r="J35">
        <f>'[8]Disbursements-constant'!P33</f>
        <v>1208.37162264</v>
      </c>
    </row>
    <row r="36" spans="1:16" ht="15">
      <c r="A36" s="156"/>
      <c r="B36" t="s">
        <v>286</v>
      </c>
      <c r="C36">
        <f>'[8]Disbursements-constant'!I39</f>
        <v>16.12232284</v>
      </c>
      <c r="D36">
        <f>'[8]Disbursements-constant'!J39</f>
        <v>38.82836256</v>
      </c>
      <c r="E36">
        <f>'[8]Disbursements-constant'!K39</f>
        <v>84.20003701</v>
      </c>
      <c r="F36">
        <f>'[8]Disbursements-constant'!L39</f>
        <v>207.92626354</v>
      </c>
      <c r="G36">
        <f>'[8]Disbursements-constant'!M39</f>
        <v>113.32550046</v>
      </c>
      <c r="H36">
        <f>'[8]Disbursements-constant'!N39</f>
        <v>153.75047332</v>
      </c>
      <c r="I36">
        <f>'[8]Disbursements-constant'!O39</f>
        <v>298.9772611</v>
      </c>
      <c r="J36">
        <f>'[8]Disbursements-constant'!P39</f>
        <v>520.32648306</v>
      </c>
      <c r="L36" s="169" t="s">
        <v>24</v>
      </c>
      <c r="M36" s="265">
        <f>SUM(M29:M34)</f>
        <v>8112.682363389999</v>
      </c>
      <c r="O36" s="169" t="s">
        <v>24</v>
      </c>
      <c r="P36" s="265">
        <f>SUM(P29:P34)</f>
        <v>17145.584487059998</v>
      </c>
    </row>
    <row r="37" spans="1:10" ht="15">
      <c r="A37" s="156"/>
      <c r="B37" t="s">
        <v>288</v>
      </c>
      <c r="C37">
        <f>'[8]Disbursements-constant'!I50</f>
        <v>72.86206039</v>
      </c>
      <c r="D37">
        <f>'[8]Disbursements-constant'!J50</f>
        <v>180.87956023</v>
      </c>
      <c r="E37">
        <f>'[8]Disbursements-constant'!K50</f>
        <v>109.41964043</v>
      </c>
      <c r="F37">
        <f>'[8]Disbursements-constant'!L50</f>
        <v>66.45837835</v>
      </c>
      <c r="G37">
        <f>'[8]Disbursements-constant'!M50</f>
        <v>262.84224133</v>
      </c>
      <c r="H37">
        <f>'[8]Disbursements-constant'!N50</f>
        <v>253.91924819</v>
      </c>
      <c r="I37">
        <f>'[8]Disbursements-constant'!O50</f>
        <v>203.27663134</v>
      </c>
      <c r="J37">
        <f>'[8]Disbursements-constant'!P50</f>
        <v>242.52784384</v>
      </c>
    </row>
    <row r="38" spans="2:10" ht="15">
      <c r="B38" t="s">
        <v>290</v>
      </c>
      <c r="C38">
        <f>'[8]Disbursements-constant'!I54</f>
        <v>6.77486828</v>
      </c>
      <c r="D38">
        <f>'[8]Disbursements-constant'!J54</f>
        <v>59.71588502</v>
      </c>
      <c r="E38">
        <f>'[8]Disbursements-constant'!K54</f>
        <v>75.6033759</v>
      </c>
      <c r="F38">
        <f>'[8]Disbursements-constant'!L54</f>
        <v>51.12889452</v>
      </c>
      <c r="G38">
        <f>'[8]Disbursements-constant'!M54</f>
        <v>54.31951563</v>
      </c>
      <c r="H38">
        <f>'[8]Disbursements-constant'!N54</f>
        <v>203.75561193</v>
      </c>
      <c r="I38">
        <f>'[8]Disbursements-constant'!O54</f>
        <v>43.24917052</v>
      </c>
      <c r="J38">
        <f>'[8]Disbursements-constant'!P54</f>
        <v>49.22145488</v>
      </c>
    </row>
    <row r="39" spans="2:13" ht="15">
      <c r="B39" t="s">
        <v>291</v>
      </c>
      <c r="C39">
        <f>'[8]Disbursements-constant'!I55+'[8]Disbursements-constant'!I56</f>
        <v>34.20944149</v>
      </c>
      <c r="D39">
        <f>'[8]Disbursements-constant'!J55+'[8]Disbursements-constant'!J56</f>
        <v>22.21141356</v>
      </c>
      <c r="E39">
        <f>'[8]Disbursements-constant'!K55+'[8]Disbursements-constant'!K56</f>
        <v>65.71835929</v>
      </c>
      <c r="F39">
        <f>'[8]Disbursements-constant'!L55+'[8]Disbursements-constant'!L56</f>
        <v>88.35254497</v>
      </c>
      <c r="G39">
        <f>'[8]Disbursements-constant'!M55+'[8]Disbursements-constant'!M56</f>
        <v>59.84940703</v>
      </c>
      <c r="H39">
        <f>'[8]Disbursements-constant'!N55+'[8]Disbursements-constant'!N56</f>
        <v>51.78745229</v>
      </c>
      <c r="I39">
        <f>'[8]Disbursements-constant'!O55+'[8]Disbursements-constant'!O56</f>
        <v>68.37896987</v>
      </c>
      <c r="J39">
        <f>'[8]Disbursements-constant'!P55+'[8]Disbursements-constant'!P56</f>
        <v>117.48926898</v>
      </c>
      <c r="M39" s="287"/>
    </row>
    <row r="40" spans="2:10" ht="15">
      <c r="B40" t="s">
        <v>292</v>
      </c>
      <c r="C40">
        <f>'[8]Disbursements-constant'!I57</f>
        <v>75.6663364</v>
      </c>
      <c r="D40" t="str">
        <f>'[8]Disbursements-constant'!J57</f>
        <v>..</v>
      </c>
      <c r="E40" t="str">
        <f>'[8]Disbursements-constant'!K57</f>
        <v>..</v>
      </c>
      <c r="F40" t="str">
        <f>'[8]Disbursements-constant'!L57</f>
        <v>..</v>
      </c>
      <c r="G40" t="str">
        <f>'[8]Disbursements-constant'!M57</f>
        <v>..</v>
      </c>
      <c r="H40">
        <f>'[8]Disbursements-constant'!N57</f>
        <v>62.20756505</v>
      </c>
      <c r="I40">
        <f>'[8]Disbursements-constant'!O57</f>
        <v>14.89249191</v>
      </c>
      <c r="J40">
        <f>'[8]Disbursements-constant'!P57</f>
        <v>1.4821538</v>
      </c>
    </row>
    <row r="41" spans="2:10" ht="15">
      <c r="B41" t="s">
        <v>293</v>
      </c>
      <c r="C41">
        <f>'[8]Disbursements-constant'!I58</f>
        <v>729.81820408</v>
      </c>
      <c r="D41">
        <f>'[8]Disbursements-constant'!J58</f>
        <v>470.07431237</v>
      </c>
      <c r="E41">
        <f>'[8]Disbursements-constant'!K58</f>
        <v>316.11887709</v>
      </c>
      <c r="F41">
        <f>'[8]Disbursements-constant'!L58</f>
        <v>364.99647974</v>
      </c>
      <c r="G41">
        <f>'[8]Disbursements-constant'!M58</f>
        <v>405.43436599</v>
      </c>
      <c r="H41">
        <f>'[8]Disbursements-constant'!N58</f>
        <v>319.17392244</v>
      </c>
      <c r="I41">
        <f>'[8]Disbursements-constant'!O58</f>
        <v>841.48774254</v>
      </c>
      <c r="J41">
        <f>'[8]Disbursements-constant'!P58</f>
        <v>625.65793052</v>
      </c>
    </row>
    <row r="42" spans="2:10" ht="15">
      <c r="B42" t="s">
        <v>294</v>
      </c>
      <c r="C42">
        <f>SUM('[8]Disbursements-constant'!I62:I65)</f>
        <v>82.01524763</v>
      </c>
      <c r="D42">
        <f>SUM('[8]Disbursements-constant'!J62:J65)</f>
        <v>163.43362504</v>
      </c>
      <c r="E42">
        <f>SUM('[8]Disbursements-constant'!K62:K65)</f>
        <v>142.70768332</v>
      </c>
      <c r="F42">
        <f>SUM('[8]Disbursements-constant'!L62:L65)</f>
        <v>70.77868926000001</v>
      </c>
      <c r="G42">
        <f>SUM('[8]Disbursements-constant'!M62:M65)</f>
        <v>32.20092943</v>
      </c>
      <c r="H42">
        <f>SUM('[8]Disbursements-constant'!N62:N65)</f>
        <v>52.61157778</v>
      </c>
      <c r="I42">
        <f>SUM('[8]Disbursements-constant'!O62:O65)</f>
        <v>48.15212273</v>
      </c>
      <c r="J42">
        <f>SUM('[8]Disbursements-constant'!P62:P65)</f>
        <v>20.24268617</v>
      </c>
    </row>
    <row r="44" spans="2:14" ht="15">
      <c r="B44" t="s">
        <v>295</v>
      </c>
      <c r="C44">
        <f aca="true" t="shared" si="4" ref="C44:J44">SUM(C29:C37)</f>
        <v>437.77948062999997</v>
      </c>
      <c r="D44">
        <f t="shared" si="4"/>
        <v>893.9374835399999</v>
      </c>
      <c r="E44">
        <f t="shared" si="4"/>
        <v>1486.07107296</v>
      </c>
      <c r="F44">
        <f t="shared" si="4"/>
        <v>2475.5700883</v>
      </c>
      <c r="G44">
        <f t="shared" si="4"/>
        <v>2459.59465306</v>
      </c>
      <c r="H44">
        <f t="shared" si="4"/>
        <v>3050.75316865</v>
      </c>
      <c r="I44">
        <f t="shared" si="4"/>
        <v>3551.82344627</v>
      </c>
      <c r="J44">
        <f t="shared" si="4"/>
        <v>5011.8188795900005</v>
      </c>
      <c r="M44" s="116"/>
      <c r="N44" s="116"/>
    </row>
    <row r="45" spans="12:16" ht="15.75" thickBot="1">
      <c r="L45" s="167" t="s">
        <v>456</v>
      </c>
      <c r="M45" s="168"/>
      <c r="N45" s="168"/>
      <c r="O45" s="167" t="s">
        <v>457</v>
      </c>
      <c r="P45" s="168"/>
    </row>
    <row r="46" spans="12:16" ht="15">
      <c r="L46" s="323" t="s">
        <v>285</v>
      </c>
      <c r="M46" s="265">
        <f>SUM(C35:F35)</f>
        <v>1411.50336215</v>
      </c>
      <c r="N46" s="171"/>
      <c r="O46" s="323" t="s">
        <v>285</v>
      </c>
      <c r="P46" s="265">
        <f>SUM(G35:J35)</f>
        <v>3645.69296733</v>
      </c>
    </row>
    <row r="47" spans="2:16" ht="15">
      <c r="B47" s="288" t="s">
        <v>526</v>
      </c>
      <c r="L47" s="323" t="s">
        <v>530</v>
      </c>
      <c r="M47" s="265">
        <f>SUM(C37:F37)</f>
        <v>429.6196394</v>
      </c>
      <c r="N47" s="171"/>
      <c r="O47" s="323" t="s">
        <v>530</v>
      </c>
      <c r="P47" s="265">
        <f>SUM(G37:J37)</f>
        <v>962.5659647</v>
      </c>
    </row>
    <row r="48" spans="2:16" ht="15">
      <c r="B48" s="288" t="s">
        <v>472</v>
      </c>
      <c r="L48" s="323" t="s">
        <v>531</v>
      </c>
      <c r="M48" s="265">
        <f>SUM(C36:F36)</f>
        <v>347.07698595</v>
      </c>
      <c r="N48" s="171"/>
      <c r="O48" s="323" t="s">
        <v>531</v>
      </c>
      <c r="P48" s="265">
        <f>SUM(G36:J36)</f>
        <v>1086.3797179399999</v>
      </c>
    </row>
    <row r="49" spans="12:16" ht="15">
      <c r="L49" s="323" t="s">
        <v>532</v>
      </c>
      <c r="M49" s="265">
        <f>SUM(C29:F34)</f>
        <v>3105.1581379299996</v>
      </c>
      <c r="N49" s="171"/>
      <c r="O49" s="323" t="s">
        <v>532</v>
      </c>
      <c r="P49" s="265">
        <f>SUM(G29:J35)</f>
        <v>12025.044464929999</v>
      </c>
    </row>
    <row r="50" spans="12:15" ht="15">
      <c r="L50" s="172"/>
      <c r="M50" s="173"/>
      <c r="N50" s="173"/>
      <c r="O50" s="172"/>
    </row>
    <row r="51" spans="12:16" ht="15">
      <c r="L51" s="169" t="s">
        <v>24</v>
      </c>
      <c r="M51" s="265">
        <f>SUM(M46:M49)</f>
        <v>5293.35812543</v>
      </c>
      <c r="N51" s="116"/>
      <c r="O51" s="169" t="s">
        <v>24</v>
      </c>
      <c r="P51" s="265">
        <f>SUM(P46:P49)</f>
        <v>17719.6831149</v>
      </c>
    </row>
    <row r="61" spans="12:15" ht="15">
      <c r="L61" s="174"/>
      <c r="M61" s="79"/>
      <c r="N61" s="79"/>
      <c r="O61" s="79"/>
    </row>
    <row r="62" spans="12:15" ht="15">
      <c r="L62" s="174"/>
      <c r="M62" s="79"/>
      <c r="N62" s="79"/>
      <c r="O62" s="79"/>
    </row>
    <row r="64" spans="12:16" ht="15.75" thickBot="1">
      <c r="L64" s="167" t="s">
        <v>475</v>
      </c>
      <c r="M64" s="168"/>
      <c r="N64" s="168"/>
      <c r="O64" s="167" t="s">
        <v>476</v>
      </c>
      <c r="P64" s="168"/>
    </row>
    <row r="65" spans="12:16" ht="15">
      <c r="L65" s="51" t="s">
        <v>275</v>
      </c>
      <c r="M65" s="265">
        <f aca="true" t="shared" si="5" ref="M65:M70">SUM(C29:F29)</f>
        <v>371.39004011</v>
      </c>
      <c r="N65" s="51"/>
      <c r="O65" s="51" t="s">
        <v>275</v>
      </c>
      <c r="P65" s="265">
        <f aca="true" t="shared" si="6" ref="P65:P70">SUM(G29:J29)</f>
        <v>763.0585911999999</v>
      </c>
    </row>
    <row r="66" spans="12:16" ht="15">
      <c r="L66" s="51" t="s">
        <v>276</v>
      </c>
      <c r="M66" s="265">
        <f t="shared" si="5"/>
        <v>287.91031347</v>
      </c>
      <c r="N66" s="171"/>
      <c r="O66" s="51" t="s">
        <v>276</v>
      </c>
      <c r="P66" s="265">
        <f t="shared" si="6"/>
        <v>814.5806199199999</v>
      </c>
    </row>
    <row r="67" spans="12:16" ht="15">
      <c r="L67" s="51" t="s">
        <v>277</v>
      </c>
      <c r="M67" s="265">
        <f t="shared" si="5"/>
        <v>62.611654019999996</v>
      </c>
      <c r="N67" s="51"/>
      <c r="O67" s="51" t="s">
        <v>277</v>
      </c>
      <c r="P67" s="265">
        <f t="shared" si="6"/>
        <v>245.21140334</v>
      </c>
    </row>
    <row r="68" spans="12:16" ht="15">
      <c r="L68" s="51" t="s">
        <v>279</v>
      </c>
      <c r="M68" s="265">
        <f t="shared" si="5"/>
        <v>129.0373939</v>
      </c>
      <c r="N68" s="51"/>
      <c r="O68" s="51" t="s">
        <v>279</v>
      </c>
      <c r="P68" s="265">
        <f t="shared" si="6"/>
        <v>238.26272421</v>
      </c>
    </row>
    <row r="69" spans="12:16" ht="15">
      <c r="L69" s="51" t="s">
        <v>281</v>
      </c>
      <c r="M69" s="265">
        <f t="shared" si="5"/>
        <v>1697.7393144399998</v>
      </c>
      <c r="N69" s="175"/>
      <c r="O69" s="51" t="s">
        <v>281</v>
      </c>
      <c r="P69" s="265">
        <f t="shared" si="6"/>
        <v>5198.03767821</v>
      </c>
    </row>
    <row r="70" spans="12:16" ht="15">
      <c r="L70" s="51" t="s">
        <v>283</v>
      </c>
      <c r="M70" s="265">
        <f t="shared" si="5"/>
        <v>556.46942199</v>
      </c>
      <c r="N70" s="175"/>
      <c r="O70" s="51" t="s">
        <v>283</v>
      </c>
      <c r="P70" s="265">
        <f t="shared" si="6"/>
        <v>1120.20048072</v>
      </c>
    </row>
    <row r="71" spans="12:15" ht="15">
      <c r="L71" s="174"/>
      <c r="M71" s="79"/>
      <c r="N71" s="79"/>
      <c r="O71" s="79"/>
    </row>
    <row r="72" spans="12:16" ht="15">
      <c r="L72" s="51" t="s">
        <v>24</v>
      </c>
      <c r="M72" s="265">
        <f>SUM(M65:M70)</f>
        <v>3105.1581379299996</v>
      </c>
      <c r="N72" s="79"/>
      <c r="O72" s="51" t="s">
        <v>24</v>
      </c>
      <c r="P72" s="265">
        <f>SUM(P65:P70)</f>
        <v>8379.3514976</v>
      </c>
    </row>
    <row r="83" ht="15">
      <c r="R83" s="288" t="s">
        <v>465</v>
      </c>
    </row>
    <row r="84" ht="15">
      <c r="R84" s="288" t="s">
        <v>472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S27"/>
  <sheetViews>
    <sheetView zoomScalePageLayoutView="0" workbookViewId="0" topLeftCell="A1">
      <selection activeCell="M8" sqref="M8"/>
    </sheetView>
  </sheetViews>
  <sheetFormatPr defaultColWidth="9.140625" defaultRowHeight="15"/>
  <cols>
    <col min="17" max="17" width="9.57421875" style="0" bestFit="1" customWidth="1"/>
    <col min="18" max="18" width="11.140625" style="0" bestFit="1" customWidth="1"/>
  </cols>
  <sheetData>
    <row r="3" spans="2:18" ht="30">
      <c r="B3" s="73" t="s">
        <v>3</v>
      </c>
      <c r="C3" s="74" t="s">
        <v>79</v>
      </c>
      <c r="D3" s="74" t="s">
        <v>80</v>
      </c>
      <c r="E3" s="74" t="s">
        <v>81</v>
      </c>
      <c r="F3" s="74" t="s">
        <v>82</v>
      </c>
      <c r="G3" s="74" t="s">
        <v>83</v>
      </c>
      <c r="H3" s="74" t="s">
        <v>84</v>
      </c>
      <c r="I3" s="74" t="s">
        <v>85</v>
      </c>
      <c r="J3" s="74" t="s">
        <v>86</v>
      </c>
      <c r="K3" s="74" t="s">
        <v>87</v>
      </c>
      <c r="L3" s="74" t="s">
        <v>88</v>
      </c>
      <c r="M3" s="75" t="s">
        <v>89</v>
      </c>
      <c r="N3" s="74">
        <v>2006</v>
      </c>
      <c r="O3" s="74">
        <v>2007</v>
      </c>
      <c r="P3" s="74">
        <v>2008</v>
      </c>
      <c r="Q3" s="74">
        <v>2009</v>
      </c>
      <c r="R3" s="188">
        <v>2010</v>
      </c>
    </row>
    <row r="4" spans="2:18" ht="15">
      <c r="B4" s="51" t="s">
        <v>199</v>
      </c>
      <c r="C4" s="324">
        <v>191.41145459813686</v>
      </c>
      <c r="D4" s="324">
        <v>151.3891453587867</v>
      </c>
      <c r="E4" s="324">
        <v>264.82652022296566</v>
      </c>
      <c r="F4" s="324">
        <v>175.64415683849526</v>
      </c>
      <c r="G4" s="324">
        <v>112.5948157880724</v>
      </c>
      <c r="H4" s="324">
        <v>173.9855070586732</v>
      </c>
      <c r="I4" s="324">
        <v>594.1764169528384</v>
      </c>
      <c r="J4" s="324">
        <v>889.9512037842727</v>
      </c>
      <c r="K4" s="324">
        <v>508.16523528647815</v>
      </c>
      <c r="L4" s="324">
        <v>446.13562954709687</v>
      </c>
      <c r="M4" s="324">
        <v>329.52</v>
      </c>
      <c r="N4" s="324">
        <v>359.166459513902</v>
      </c>
      <c r="O4" s="324">
        <v>327.9272857269997</v>
      </c>
      <c r="P4" s="324">
        <v>870.709543580255</v>
      </c>
      <c r="Q4" s="186">
        <f>'[9]HA-per-capita'!P5</f>
        <v>592.4361547659373</v>
      </c>
      <c r="R4" s="187">
        <f>'[9]Afghanistan-FTS-2010'!D290/1000000</f>
        <v>671.305758</v>
      </c>
    </row>
    <row r="5" spans="2:17" ht="15">
      <c r="B5" t="s">
        <v>200</v>
      </c>
      <c r="C5" s="78"/>
      <c r="D5" s="78"/>
      <c r="E5" s="78"/>
      <c r="F5" s="78"/>
      <c r="G5" s="78"/>
      <c r="H5" s="89">
        <v>1.671522</v>
      </c>
      <c r="I5" s="89">
        <v>0.029761</v>
      </c>
      <c r="J5" s="89">
        <v>63.592619</v>
      </c>
      <c r="K5" s="89">
        <v>1.938773</v>
      </c>
      <c r="L5" s="89">
        <v>1.814621</v>
      </c>
      <c r="M5" s="89">
        <v>0.9301380000000001</v>
      </c>
      <c r="N5" s="89">
        <v>1.610443</v>
      </c>
      <c r="O5" s="89">
        <v>0.8521979999999999</v>
      </c>
      <c r="P5" s="89">
        <v>3.484839</v>
      </c>
      <c r="Q5" s="89"/>
    </row>
    <row r="6" spans="2:18" ht="15">
      <c r="B6" t="s">
        <v>201</v>
      </c>
      <c r="C6" s="79"/>
      <c r="D6" s="79">
        <f aca="true" t="shared" si="0" ref="D6:J6">D4-C4</f>
        <v>-40.022309239350164</v>
      </c>
      <c r="E6" s="79">
        <f t="shared" si="0"/>
        <v>113.43737486417896</v>
      </c>
      <c r="F6" s="79">
        <f t="shared" si="0"/>
        <v>-89.18236338447039</v>
      </c>
      <c r="G6" s="79">
        <f t="shared" si="0"/>
        <v>-63.04934105042287</v>
      </c>
      <c r="H6" s="79">
        <f t="shared" si="0"/>
        <v>61.3906912706008</v>
      </c>
      <c r="I6" s="79">
        <f t="shared" si="0"/>
        <v>420.1909098941652</v>
      </c>
      <c r="J6" s="79">
        <f t="shared" si="0"/>
        <v>295.7747868314343</v>
      </c>
      <c r="K6" s="79">
        <f>K4-J4</f>
        <v>-381.78596849779456</v>
      </c>
      <c r="L6" s="79">
        <f aca="true" t="shared" si="1" ref="L6:R6">L4-K4</f>
        <v>-62.02960573938128</v>
      </c>
      <c r="M6" s="79">
        <f t="shared" si="1"/>
        <v>-116.61562954709689</v>
      </c>
      <c r="N6" s="79">
        <f t="shared" si="1"/>
        <v>29.646459513902016</v>
      </c>
      <c r="O6" s="79">
        <f t="shared" si="1"/>
        <v>-31.239173786902313</v>
      </c>
      <c r="P6" s="79">
        <f t="shared" si="1"/>
        <v>542.7822578532553</v>
      </c>
      <c r="Q6" s="79">
        <f t="shared" si="1"/>
        <v>-278.2733888143176</v>
      </c>
      <c r="R6" s="79">
        <f t="shared" si="1"/>
        <v>78.86960323406265</v>
      </c>
    </row>
    <row r="7" spans="2:19" ht="15">
      <c r="B7" t="s">
        <v>202</v>
      </c>
      <c r="D7" s="90">
        <f aca="true" t="shared" si="2" ref="D7:J7">D6/C4</f>
        <v>-0.20909046077402166</v>
      </c>
      <c r="E7" s="90">
        <f t="shared" si="2"/>
        <v>0.7493098306046749</v>
      </c>
      <c r="F7" s="90">
        <f t="shared" si="2"/>
        <v>-0.3367576755884758</v>
      </c>
      <c r="G7" s="90">
        <f t="shared" si="2"/>
        <v>-0.35896065195266763</v>
      </c>
      <c r="H7" s="90">
        <f t="shared" si="2"/>
        <v>0.5452355052132352</v>
      </c>
      <c r="I7" s="90">
        <f t="shared" si="2"/>
        <v>2.415091446395383</v>
      </c>
      <c r="J7" s="90">
        <f t="shared" si="2"/>
        <v>0.49778950896146196</v>
      </c>
      <c r="K7" s="90">
        <f>K6/J4</f>
        <v>-0.4289965189937996</v>
      </c>
      <c r="L7" s="90">
        <f aca="true" t="shared" si="3" ref="L7:R7">L6/K4</f>
        <v>-0.1220658192101868</v>
      </c>
      <c r="M7" s="90">
        <f t="shared" si="3"/>
        <v>-0.2613905319901965</v>
      </c>
      <c r="N7" s="90">
        <f t="shared" si="3"/>
        <v>0.08996861954935062</v>
      </c>
      <c r="O7" s="90">
        <f t="shared" si="3"/>
        <v>-0.08697686813290305</v>
      </c>
      <c r="P7" s="90">
        <f t="shared" si="3"/>
        <v>1.6551908959022181</v>
      </c>
      <c r="Q7" s="90">
        <f t="shared" si="3"/>
        <v>-0.3195938196222018</v>
      </c>
      <c r="R7" s="90">
        <f t="shared" si="3"/>
        <v>0.13312759965708518</v>
      </c>
      <c r="S7" s="91"/>
    </row>
    <row r="26" ht="15">
      <c r="C26" s="288" t="s">
        <v>533</v>
      </c>
    </row>
    <row r="27" ht="15">
      <c r="C27" s="288" t="s">
        <v>497</v>
      </c>
    </row>
  </sheetData>
  <sheetProtection/>
  <hyperlinks>
    <hyperlink ref="M3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22">
      <selection activeCell="J36" sqref="J36"/>
    </sheetView>
  </sheetViews>
  <sheetFormatPr defaultColWidth="9.140625" defaultRowHeight="15"/>
  <cols>
    <col min="1" max="1" width="13.57421875" style="0" customWidth="1"/>
    <col min="12" max="12" width="9.7109375" style="0" customWidth="1"/>
    <col min="13" max="13" width="9.8515625" style="0" customWidth="1"/>
    <col min="14" max="14" width="10.28125" style="0" customWidth="1"/>
    <col min="15" max="15" width="9.7109375" style="0" customWidth="1"/>
    <col min="17" max="17" width="12.57421875" style="0" bestFit="1" customWidth="1"/>
  </cols>
  <sheetData>
    <row r="1" spans="1:14" ht="15">
      <c r="A1" s="331" t="s">
        <v>193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</row>
    <row r="2" spans="1:14" ht="15">
      <c r="A2" s="350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</row>
    <row r="4" spans="1:17" ht="30">
      <c r="A4" s="73" t="s">
        <v>3</v>
      </c>
      <c r="B4" s="74" t="s">
        <v>79</v>
      </c>
      <c r="C4" s="74" t="s">
        <v>80</v>
      </c>
      <c r="D4" s="74" t="s">
        <v>81</v>
      </c>
      <c r="E4" s="74" t="s">
        <v>82</v>
      </c>
      <c r="F4" s="74" t="s">
        <v>83</v>
      </c>
      <c r="G4" s="74" t="s">
        <v>84</v>
      </c>
      <c r="H4" s="74" t="s">
        <v>85</v>
      </c>
      <c r="I4" s="74" t="s">
        <v>86</v>
      </c>
      <c r="J4" s="74" t="s">
        <v>87</v>
      </c>
      <c r="K4" s="74" t="s">
        <v>88</v>
      </c>
      <c r="L4" s="75" t="s">
        <v>89</v>
      </c>
      <c r="M4" s="74">
        <v>2006</v>
      </c>
      <c r="N4" s="74">
        <v>2007</v>
      </c>
      <c r="O4" s="74">
        <v>2008</v>
      </c>
      <c r="P4" s="74">
        <v>2009</v>
      </c>
      <c r="Q4" s="76">
        <v>2010</v>
      </c>
    </row>
    <row r="5" spans="1:18" ht="15">
      <c r="A5" s="77" t="s">
        <v>195</v>
      </c>
      <c r="B5" s="78">
        <v>191.41145459813686</v>
      </c>
      <c r="C5" s="78">
        <v>151.3891453587867</v>
      </c>
      <c r="D5" s="78">
        <v>264.82652022296566</v>
      </c>
      <c r="E5" s="78">
        <v>175.64415683849526</v>
      </c>
      <c r="F5" s="78">
        <v>112.5948157880724</v>
      </c>
      <c r="G5" s="78">
        <v>173.9855070586732</v>
      </c>
      <c r="H5" s="78">
        <v>594.1764169528384</v>
      </c>
      <c r="I5" s="78">
        <v>889.9512037842727</v>
      </c>
      <c r="J5" s="78">
        <v>508.16523528647815</v>
      </c>
      <c r="K5" s="78">
        <v>446.13562954709687</v>
      </c>
      <c r="L5" s="78">
        <v>329.52</v>
      </c>
      <c r="M5" s="78">
        <v>359.166459513902</v>
      </c>
      <c r="N5" s="78">
        <v>327.9272857269997</v>
      </c>
      <c r="O5" s="78">
        <v>870.709543580255</v>
      </c>
      <c r="P5" s="79">
        <f>'[10]total ha constant'!$Y$162</f>
        <v>592.4361547659373</v>
      </c>
      <c r="Q5" s="80">
        <f>'[9]Afghanistan-FTS-2010'!D290/1000000</f>
        <v>671.305758</v>
      </c>
      <c r="R5" s="79">
        <f>O5-P5</f>
        <v>278.2733888143176</v>
      </c>
    </row>
    <row r="6" spans="1:17" ht="15">
      <c r="A6" s="51" t="s">
        <v>196</v>
      </c>
      <c r="B6" s="186">
        <f>B5/'[9]Population'!B4</f>
        <v>10.484851807522833</v>
      </c>
      <c r="C6" s="186">
        <f>C5/'[9]Population'!C4</f>
        <v>8.073140503982822</v>
      </c>
      <c r="D6" s="186">
        <f>D5/'[9]Population'!D4</f>
        <v>13.758365382211803</v>
      </c>
      <c r="E6" s="186">
        <f>E5/'[9]Population'!E4</f>
        <v>8.895807301160584</v>
      </c>
      <c r="F6" s="186">
        <f>F5/'[9]Population'!F4</f>
        <v>5.562765097628176</v>
      </c>
      <c r="G6" s="186">
        <f>G5/'[9]Population'!G4</f>
        <v>8.390100161965242</v>
      </c>
      <c r="H6" s="186">
        <f>H5/'[9]Population'!H4</f>
        <v>27.50434740326984</v>
      </c>
      <c r="I6" s="186">
        <f>I5/'[9]Population'!I4</f>
        <v>39.6079577989351</v>
      </c>
      <c r="J6" s="186">
        <f>J5/'[9]Population'!J4</f>
        <v>21.776954586949994</v>
      </c>
      <c r="K6" s="186">
        <f>K5/'[9]Population'!K4</f>
        <v>18.43459483273819</v>
      </c>
      <c r="L6" s="186">
        <f>L5/'[9]Population'!L4</f>
        <v>13.145569872741053</v>
      </c>
      <c r="M6" s="186">
        <f>M5/'[9]Population'!M4</f>
        <v>13.744631344432443</v>
      </c>
      <c r="N6" s="186">
        <f>N5/'[9]Population'!N4</f>
        <v>12.05801210948013</v>
      </c>
      <c r="O6" s="186">
        <f>O5/'[9]Population'!O4</f>
        <v>30.810452282016932</v>
      </c>
      <c r="P6" s="186">
        <f>P5/'[9]Population'!P4</f>
        <v>20.20270198965842</v>
      </c>
      <c r="Q6" s="81">
        <f>Q5/'[9]Population'!Q4</f>
        <v>22.090419493895816</v>
      </c>
    </row>
    <row r="8" spans="1:17" ht="15">
      <c r="A8" s="82" t="s">
        <v>2</v>
      </c>
      <c r="B8" s="74" t="s">
        <v>79</v>
      </c>
      <c r="C8" s="74" t="s">
        <v>80</v>
      </c>
      <c r="D8" s="74" t="s">
        <v>81</v>
      </c>
      <c r="E8" s="74" t="s">
        <v>82</v>
      </c>
      <c r="F8" s="74" t="s">
        <v>83</v>
      </c>
      <c r="G8" s="74" t="s">
        <v>84</v>
      </c>
      <c r="H8" s="74" t="s">
        <v>85</v>
      </c>
      <c r="I8" s="74" t="s">
        <v>86</v>
      </c>
      <c r="J8" s="74" t="s">
        <v>87</v>
      </c>
      <c r="K8" s="74" t="s">
        <v>88</v>
      </c>
      <c r="L8" s="75" t="s">
        <v>89</v>
      </c>
      <c r="M8" s="74">
        <v>2006</v>
      </c>
      <c r="N8" s="74">
        <v>2007</v>
      </c>
      <c r="O8" s="74">
        <v>2008</v>
      </c>
      <c r="P8" s="74">
        <v>2009</v>
      </c>
      <c r="Q8" s="76">
        <v>2010</v>
      </c>
    </row>
    <row r="9" spans="1:17" ht="15">
      <c r="A9" s="77" t="s">
        <v>195</v>
      </c>
      <c r="B9" s="83">
        <v>359.8515042662444</v>
      </c>
      <c r="C9" s="83">
        <v>411.45078679007486</v>
      </c>
      <c r="D9" s="83">
        <v>301.24975851619865</v>
      </c>
      <c r="E9" s="83">
        <v>141.19624843881581</v>
      </c>
      <c r="F9" s="83">
        <v>139.2812183369241</v>
      </c>
      <c r="G9" s="83">
        <v>149.86928243551858</v>
      </c>
      <c r="H9" s="83">
        <v>186.62550614722153</v>
      </c>
      <c r="I9" s="83">
        <v>157.35961951186</v>
      </c>
      <c r="J9" s="83">
        <v>1188.4238962822162</v>
      </c>
      <c r="K9" s="83">
        <v>1031.4060405876278</v>
      </c>
      <c r="L9" s="83">
        <v>648.7</v>
      </c>
      <c r="M9" s="83">
        <v>441.44625925596966</v>
      </c>
      <c r="N9" s="83">
        <v>384.3279784460698</v>
      </c>
      <c r="O9" s="83">
        <v>394.7587187648811</v>
      </c>
      <c r="P9" s="84">
        <f>'[10]total ha constant'!$Y$186</f>
        <v>497.258058935527</v>
      </c>
      <c r="Q9" s="84">
        <f>'[9]Iraq-FTS-2010'!D90/1000000</f>
        <v>178.439027</v>
      </c>
    </row>
    <row r="10" spans="1:17" ht="15">
      <c r="A10" s="51" t="s">
        <v>196</v>
      </c>
      <c r="B10" s="170">
        <f>B9/'[9]Population'!B79</f>
        <v>16.635147201657006</v>
      </c>
      <c r="C10" s="170">
        <f>C9/'[9]Population'!C79</f>
        <v>18.437479243147287</v>
      </c>
      <c r="D10" s="170">
        <f>D9/'[9]Population'!D79</f>
        <v>13.097815587660811</v>
      </c>
      <c r="E10" s="170">
        <f>E9/'[9]Population'!E79</f>
        <v>5.961672371171078</v>
      </c>
      <c r="F10" s="170">
        <f>F9/'[9]Population'!F79</f>
        <v>5.715742709164647</v>
      </c>
      <c r="G10" s="170">
        <f>G9/'[9]Population'!G79</f>
        <v>5.982328055066206</v>
      </c>
      <c r="H10" s="170">
        <f>H9/'[9]Population'!H79</f>
        <v>7.278458790178994</v>
      </c>
      <c r="I10" s="170">
        <f>I9/'[9]Population'!I79</f>
        <v>5.9993144962889255</v>
      </c>
      <c r="J10" s="170">
        <f>J9/'[9]Population'!J79</f>
        <v>44.31375086814337</v>
      </c>
      <c r="K10" s="170">
        <f>K9/'[9]Population'!K79</f>
        <v>37.63266734973393</v>
      </c>
      <c r="L10" s="170">
        <f>L9/'[9]Population'!L79</f>
        <v>23.17116730961566</v>
      </c>
      <c r="M10" s="170">
        <f>M9/'[9]Population'!M79</f>
        <v>15.470669061062074</v>
      </c>
      <c r="N10" s="170">
        <f>N9/'[9]Population'!N79</f>
        <v>13.219503399950117</v>
      </c>
      <c r="O10" s="170">
        <f>O9/'[9]Population'!O79</f>
        <v>13.331398888423337</v>
      </c>
      <c r="P10" s="170">
        <f>P9/'[9]Population'!P79</f>
        <v>16.49302342105789</v>
      </c>
      <c r="Q10" s="85">
        <f>Q9/'[9]Population'!Q79</f>
        <v>5.814618971584985</v>
      </c>
    </row>
    <row r="13" spans="1:17" ht="15">
      <c r="A13" s="73" t="s">
        <v>197</v>
      </c>
      <c r="B13" s="74" t="s">
        <v>79</v>
      </c>
      <c r="C13" s="74" t="s">
        <v>80</v>
      </c>
      <c r="D13" s="74" t="s">
        <v>81</v>
      </c>
      <c r="E13" s="74" t="s">
        <v>82</v>
      </c>
      <c r="F13" s="74" t="s">
        <v>83</v>
      </c>
      <c r="G13" s="74" t="s">
        <v>84</v>
      </c>
      <c r="H13" s="74" t="s">
        <v>85</v>
      </c>
      <c r="I13" s="74" t="s">
        <v>86</v>
      </c>
      <c r="J13" s="74" t="s">
        <v>87</v>
      </c>
      <c r="K13" s="74" t="s">
        <v>88</v>
      </c>
      <c r="L13" s="75" t="s">
        <v>89</v>
      </c>
      <c r="M13" s="74">
        <v>2006</v>
      </c>
      <c r="N13" s="74">
        <v>2007</v>
      </c>
      <c r="O13" s="74">
        <v>2008</v>
      </c>
      <c r="P13" s="74">
        <v>2009</v>
      </c>
      <c r="Q13" s="76">
        <v>2010</v>
      </c>
    </row>
    <row r="14" spans="1:17" ht="15">
      <c r="A14" s="77" t="s">
        <v>195</v>
      </c>
      <c r="B14" s="78">
        <v>137.692905782749</v>
      </c>
      <c r="C14" s="78">
        <v>49.261592008699374</v>
      </c>
      <c r="D14" s="78">
        <v>51.4408616939406</v>
      </c>
      <c r="E14" s="78">
        <v>45.324775413230704</v>
      </c>
      <c r="F14" s="78">
        <v>70.52783353520054</v>
      </c>
      <c r="G14" s="78">
        <v>86.10189951886403</v>
      </c>
      <c r="H14" s="78">
        <v>103.16665550656121</v>
      </c>
      <c r="I14" s="78">
        <v>136.8401346506682</v>
      </c>
      <c r="J14" s="78">
        <v>143.86494580937628</v>
      </c>
      <c r="K14" s="78">
        <v>163.01472067630914</v>
      </c>
      <c r="L14" s="78">
        <v>199.6058377333429</v>
      </c>
      <c r="M14" s="78">
        <v>330.67993104056103</v>
      </c>
      <c r="N14" s="78">
        <v>279.6297640384167</v>
      </c>
      <c r="O14" s="78">
        <v>566.5054439549472</v>
      </c>
      <c r="P14" s="42">
        <f>'[10]total ha constant'!$Y$79</f>
        <v>541.6329324880578</v>
      </c>
      <c r="Q14" s="80">
        <f>'[9]Somalia-FTS-2010'!D233/1000000</f>
        <v>519.774934</v>
      </c>
    </row>
    <row r="15" spans="1:17" ht="15">
      <c r="A15" s="51" t="s">
        <v>196</v>
      </c>
      <c r="B15" s="186">
        <f>B14/'[9]Population'!B148</f>
        <v>22.059100573974526</v>
      </c>
      <c r="C15" s="186">
        <f>C14/'[9]Population'!C148</f>
        <v>7.691595417153198</v>
      </c>
      <c r="D15" s="186">
        <f>D14/'[9]Population'!D148</f>
        <v>7.832997577954166</v>
      </c>
      <c r="E15" s="186">
        <f>E14/'[9]Population'!E148</f>
        <v>6.734936463673616</v>
      </c>
      <c r="F15" s="186">
        <f>F14/'[9]Population'!F148</f>
        <v>10.232695945563309</v>
      </c>
      <c r="G15" s="186">
        <f>G14/'[9]Population'!G148</f>
        <v>12.204379804233032</v>
      </c>
      <c r="H15" s="186">
        <f>H14/'[9]Population'!H148</f>
        <v>14.16501750694217</v>
      </c>
      <c r="I15" s="186">
        <f>I14/'[9]Population'!I148</f>
        <v>18.21766044288258</v>
      </c>
      <c r="J15" s="186">
        <f>J14/'[9]Population'!J148</f>
        <v>18.588162929528178</v>
      </c>
      <c r="K15" s="186">
        <f>K14/'[9]Population'!K148</f>
        <v>20.459188317516645</v>
      </c>
      <c r="L15" s="186">
        <f>L14/'[9]Population'!L148</f>
        <v>24.354055360339544</v>
      </c>
      <c r="M15" s="186">
        <f>M14/'[9]Population'!M148</f>
        <v>39.11520357707133</v>
      </c>
      <c r="N15" s="186">
        <f>N14/'[9]Population'!N148</f>
        <v>32.09708035335361</v>
      </c>
      <c r="O15" s="186">
        <f>O14/'[9]Population'!O148</f>
        <v>63.15556788795397</v>
      </c>
      <c r="P15" s="186">
        <f>P14/'[9]Population'!P148</f>
        <v>58.694509372351305</v>
      </c>
      <c r="Q15" s="81">
        <f>Q14/'[9]Population'!Q148</f>
        <v>54.793899852414086</v>
      </c>
    </row>
    <row r="17" spans="1:17" ht="15">
      <c r="A17" s="73" t="s">
        <v>11</v>
      </c>
      <c r="B17" s="74" t="s">
        <v>79</v>
      </c>
      <c r="C17" s="74" t="s">
        <v>80</v>
      </c>
      <c r="D17" s="74" t="s">
        <v>81</v>
      </c>
      <c r="E17" s="74" t="s">
        <v>82</v>
      </c>
      <c r="F17" s="74" t="s">
        <v>83</v>
      </c>
      <c r="G17" s="74" t="s">
        <v>84</v>
      </c>
      <c r="H17" s="74" t="s">
        <v>85</v>
      </c>
      <c r="I17" s="74" t="s">
        <v>86</v>
      </c>
      <c r="J17" s="74" t="s">
        <v>87</v>
      </c>
      <c r="K17" s="74" t="s">
        <v>88</v>
      </c>
      <c r="L17" s="75" t="s">
        <v>89</v>
      </c>
      <c r="M17" s="74">
        <v>2006</v>
      </c>
      <c r="N17" s="74">
        <v>2007</v>
      </c>
      <c r="O17" s="74">
        <v>2008</v>
      </c>
      <c r="P17" s="74">
        <v>2009</v>
      </c>
      <c r="Q17" s="76">
        <v>2010</v>
      </c>
    </row>
    <row r="18" spans="1:17" ht="15">
      <c r="A18" s="77" t="s">
        <v>195</v>
      </c>
      <c r="B18" s="79">
        <v>136.71365478680684</v>
      </c>
      <c r="C18" s="79">
        <v>131.93148499532708</v>
      </c>
      <c r="D18" s="79">
        <v>122.41274787028229</v>
      </c>
      <c r="E18" s="79">
        <v>213.7152547323713</v>
      </c>
      <c r="F18" s="79">
        <v>236.01920559266551</v>
      </c>
      <c r="G18" s="79">
        <v>136.72437889399095</v>
      </c>
      <c r="H18" s="79">
        <v>179.94703636456543</v>
      </c>
      <c r="I18" s="79">
        <v>268.09630630540374</v>
      </c>
      <c r="J18" s="79">
        <v>368.3224296903218</v>
      </c>
      <c r="K18" s="79">
        <v>873.0633457552862</v>
      </c>
      <c r="L18" s="79">
        <v>1412.3165160354006</v>
      </c>
      <c r="M18" s="79">
        <v>1404.5336350199334</v>
      </c>
      <c r="N18" s="79">
        <v>1350.5748672955576</v>
      </c>
      <c r="O18" s="79">
        <v>1399.8912139091758</v>
      </c>
      <c r="P18" s="42">
        <f>'[10]total ha constant'!$Y$82</f>
        <v>1332.1672179670402</v>
      </c>
      <c r="Q18" s="86">
        <f>'[9]Sudan-FTS-2010'!D491/1000000</f>
        <v>1363.752045</v>
      </c>
    </row>
    <row r="19" spans="1:17" ht="15">
      <c r="A19" t="s">
        <v>196</v>
      </c>
      <c r="B19" s="79">
        <f>B18/'[9]Population'!B156</f>
        <v>4.635618296039836</v>
      </c>
      <c r="C19" s="79">
        <f>C18/'[9]Population'!C156</f>
        <v>4.3594402808450825</v>
      </c>
      <c r="D19" s="79">
        <f>D18/'[9]Population'!D156</f>
        <v>3.9443704444778858</v>
      </c>
      <c r="E19" s="79">
        <f>E18/'[9]Population'!E156</f>
        <v>6.71929544341579</v>
      </c>
      <c r="F19" s="79">
        <f>F18/'[9]Population'!F156</f>
        <v>7.244830975660133</v>
      </c>
      <c r="G19" s="79">
        <f>G18/'[9]Population'!G156</f>
        <v>4.099804458724129</v>
      </c>
      <c r="H19" s="79">
        <f>H18/'[9]Population'!H156</f>
        <v>5.283360629861108</v>
      </c>
      <c r="I19" s="79">
        <f>I18/'[9]Population'!I156</f>
        <v>7.7106969434446295</v>
      </c>
      <c r="J19" s="79">
        <f>J18/'[9]Population'!J156</f>
        <v>10.381245270248872</v>
      </c>
      <c r="K19" s="79">
        <f>K18/'[9]Population'!K156</f>
        <v>24.124569512826433</v>
      </c>
      <c r="L19" s="79">
        <f>L18/'[9]Population'!L156</f>
        <v>38.274160326162615</v>
      </c>
      <c r="M19" s="79">
        <f>M18/'[9]Population'!M156</f>
        <v>37.19042617751241</v>
      </c>
      <c r="N19" s="79">
        <f>N18/'[9]Population'!N156</f>
        <v>34.96000381278623</v>
      </c>
      <c r="O19" s="79">
        <f>O18/'[9]Population'!O156</f>
        <v>35.442078432051645</v>
      </c>
      <c r="P19" s="79">
        <f>P18/'[9]Population'!P156</f>
        <v>33.00384545553068</v>
      </c>
      <c r="Q19" s="79">
        <f>Q18/'[9]Population'!Q156</f>
        <v>33.076692820761586</v>
      </c>
    </row>
    <row r="21" spans="1:17" ht="15">
      <c r="A21" s="73" t="s">
        <v>198</v>
      </c>
      <c r="B21" s="74" t="s">
        <v>79</v>
      </c>
      <c r="C21" s="74" t="s">
        <v>80</v>
      </c>
      <c r="D21" s="74" t="s">
        <v>81</v>
      </c>
      <c r="E21" s="74" t="s">
        <v>82</v>
      </c>
      <c r="F21" s="74" t="s">
        <v>83</v>
      </c>
      <c r="G21" s="74" t="s">
        <v>84</v>
      </c>
      <c r="H21" s="74" t="s">
        <v>85</v>
      </c>
      <c r="I21" s="74" t="s">
        <v>86</v>
      </c>
      <c r="J21" s="74" t="s">
        <v>87</v>
      </c>
      <c r="K21" s="74" t="s">
        <v>88</v>
      </c>
      <c r="L21" s="75">
        <v>2005</v>
      </c>
      <c r="M21" s="74">
        <v>2006</v>
      </c>
      <c r="N21" s="74">
        <v>2007</v>
      </c>
      <c r="O21" s="74">
        <v>2008</v>
      </c>
      <c r="P21" s="74">
        <v>2009</v>
      </c>
      <c r="Q21" s="76">
        <v>2010</v>
      </c>
    </row>
    <row r="22" spans="1:17" ht="15">
      <c r="A22" s="77" t="s">
        <v>195</v>
      </c>
      <c r="B22" s="87">
        <v>242.7751065403398</v>
      </c>
      <c r="C22" s="87">
        <v>199.51356557982905</v>
      </c>
      <c r="D22" s="87">
        <v>291.6354168848937</v>
      </c>
      <c r="E22" s="87">
        <v>362.5563437981831</v>
      </c>
      <c r="F22" s="87">
        <v>231.8010246458308</v>
      </c>
      <c r="G22" s="87">
        <v>276.7952341666909</v>
      </c>
      <c r="H22" s="87">
        <v>372.6037405197858</v>
      </c>
      <c r="I22" s="87">
        <v>481.411053741481</v>
      </c>
      <c r="J22" s="87">
        <v>476.8918287836034</v>
      </c>
      <c r="K22" s="87">
        <v>576.8070564133219</v>
      </c>
      <c r="L22" s="87">
        <v>491.31</v>
      </c>
      <c r="M22" s="87">
        <v>823.4081270081775</v>
      </c>
      <c r="N22" s="87">
        <v>885.5336654820233</v>
      </c>
      <c r="O22" s="87">
        <v>799.0828890097499</v>
      </c>
      <c r="P22" s="88">
        <f>'[10]total ha constant'!$Y$192</f>
        <v>1219.313229360893</v>
      </c>
      <c r="Q22" s="88">
        <f>'[9]OPT-FTS-2010'!D286/1000000</f>
        <v>356.021507</v>
      </c>
    </row>
    <row r="23" spans="1:17" ht="15">
      <c r="A23" s="51" t="s">
        <v>196</v>
      </c>
      <c r="B23" s="175">
        <f>B22/'[9]Population'!B130</f>
        <v>92.76847785263271</v>
      </c>
      <c r="C23" s="175">
        <f>C22/'[9]Population'!C130</f>
        <v>73.25900182853383</v>
      </c>
      <c r="D23" s="175">
        <f>D22/'[9]Population'!D130</f>
        <v>103.0586673563127</v>
      </c>
      <c r="E23" s="175">
        <f>E22/'[9]Population'!E130</f>
        <v>123.47808180579767</v>
      </c>
      <c r="F23" s="175">
        <f>F22/'[9]Population'!F130</f>
        <v>76.18517867804866</v>
      </c>
      <c r="G23" s="175">
        <f>G22/'[9]Population'!G130</f>
        <v>87.89940748386499</v>
      </c>
      <c r="H23" s="175">
        <f>H22/'[9]Population'!H130</f>
        <v>113.89037184245807</v>
      </c>
      <c r="I23" s="175">
        <f>I22/'[9]Population'!I130</f>
        <v>141.83343755273143</v>
      </c>
      <c r="J23" s="175">
        <f>J22/'[9]Population'!J130</f>
        <v>135.60390945848593</v>
      </c>
      <c r="K23" s="175">
        <f>K22/'[9]Population'!K130</f>
        <v>158.48960169624715</v>
      </c>
      <c r="L23" s="175">
        <f>L22/'[9]Population'!L130</f>
        <v>130.5980861244019</v>
      </c>
      <c r="M23" s="175">
        <f>M22/'[9]Population'!M130</f>
        <v>211.5968872406274</v>
      </c>
      <c r="N23" s="175">
        <f>N22/'[9]Population'!N130</f>
        <v>220.23817784570812</v>
      </c>
      <c r="O23" s="175">
        <f>O22/'[9]Population'!O130</f>
        <v>192.54081466188376</v>
      </c>
      <c r="P23" s="175">
        <f>P22/'[9]Population'!P130</f>
        <v>284.9128959157148</v>
      </c>
      <c r="Q23" s="79">
        <f>Q22/'[9]Population'!Q130</f>
        <v>80.74881084146065</v>
      </c>
    </row>
    <row r="40" ht="15">
      <c r="A40" s="288" t="s">
        <v>534</v>
      </c>
    </row>
    <row r="41" ht="15">
      <c r="A41" s="288" t="s">
        <v>461</v>
      </c>
    </row>
  </sheetData>
  <sheetProtection/>
  <mergeCells count="2">
    <mergeCell ref="A1:N1"/>
    <mergeCell ref="A2:N2"/>
  </mergeCells>
  <hyperlinks>
    <hyperlink ref="L4" r:id="rId1" tooltip="Click once to display linked information. Click and hold to select this cell." display="http://stats.oecd.org/OECDStat_Metadata/ShowMetadata.ashx?Dataset=TABLE2A&amp;Coords=[TIME].[2005]&amp;ShowOnWeb=true&amp;Lang=en"/>
    <hyperlink ref="L8" r:id="rId2" tooltip="Click once to display linked information. Click and hold to select this cell." display="http://stats.oecd.org/OECDStat_Metadata/ShowMetadata.ashx?Dataset=TABLE2A&amp;Coords=[TIME].[2005]&amp;ShowOnWeb=true&amp;Lang=en"/>
    <hyperlink ref="L13" r:id="rId3" tooltip="Click once to display linked information. Click and hold to select this cell." display="http://stats.oecd.org/OECDStat_Metadata/ShowMetadata.ashx?Dataset=TABLE2A&amp;Coords=[TIME].[2005]&amp;ShowOnWeb=true&amp;Lang=en"/>
    <hyperlink ref="L17" r:id="rId4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7"/>
  <legacyDrawing r:id="rId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3.57421875" style="0" customWidth="1"/>
    <col min="2" max="2" width="11.57421875" style="0" bestFit="1" customWidth="1"/>
    <col min="7" max="7" width="11.57421875" style="0" bestFit="1" customWidth="1"/>
  </cols>
  <sheetData>
    <row r="1" spans="1:13" ht="15">
      <c r="A1" s="49"/>
      <c r="B1" s="353" t="s">
        <v>240</v>
      </c>
      <c r="C1" s="354"/>
      <c r="D1" s="354"/>
      <c r="E1" s="355"/>
      <c r="F1" s="356"/>
      <c r="G1" s="357" t="s">
        <v>241</v>
      </c>
      <c r="H1" s="358"/>
      <c r="I1" s="358"/>
      <c r="J1" s="355"/>
      <c r="K1" s="356"/>
      <c r="L1" s="359" t="s">
        <v>242</v>
      </c>
      <c r="M1" s="359"/>
    </row>
    <row r="2" spans="1:13" ht="60">
      <c r="A2" s="49" t="s">
        <v>243</v>
      </c>
      <c r="B2" s="122" t="s">
        <v>244</v>
      </c>
      <c r="C2" s="122" t="s">
        <v>245</v>
      </c>
      <c r="D2" s="122" t="s">
        <v>246</v>
      </c>
      <c r="E2" s="122" t="s">
        <v>536</v>
      </c>
      <c r="F2" s="122" t="s">
        <v>247</v>
      </c>
      <c r="G2" s="123" t="s">
        <v>244</v>
      </c>
      <c r="H2" s="123" t="s">
        <v>245</v>
      </c>
      <c r="I2" s="123" t="s">
        <v>246</v>
      </c>
      <c r="J2" s="123" t="s">
        <v>536</v>
      </c>
      <c r="K2" s="123" t="s">
        <v>247</v>
      </c>
      <c r="L2" s="124" t="s">
        <v>244</v>
      </c>
      <c r="M2" s="124" t="s">
        <v>248</v>
      </c>
    </row>
    <row r="3" spans="1:13" ht="15">
      <c r="A3" s="49" t="s">
        <v>249</v>
      </c>
      <c r="B3" s="125">
        <v>491.963864</v>
      </c>
      <c r="C3" s="126">
        <f>B3/L3</f>
        <v>0.9461598737799255</v>
      </c>
      <c r="D3" s="127">
        <v>27</v>
      </c>
      <c r="E3" s="126">
        <f>D3/M3</f>
        <v>0.6136363636363636</v>
      </c>
      <c r="F3" s="128">
        <f>B3/D3</f>
        <v>18.220883851851852</v>
      </c>
      <c r="G3" s="129">
        <v>27.994631</v>
      </c>
      <c r="H3" s="130">
        <f>G3/L3</f>
        <v>0.053840126220074544</v>
      </c>
      <c r="I3" s="131">
        <v>17</v>
      </c>
      <c r="J3" s="130">
        <f>I3/M3</f>
        <v>0.38636363636363635</v>
      </c>
      <c r="K3" s="132">
        <f>G3/I3</f>
        <v>1.6467429999999998</v>
      </c>
      <c r="L3" s="133">
        <v>519.958495</v>
      </c>
      <c r="M3" s="134">
        <v>44</v>
      </c>
    </row>
    <row r="4" spans="1:13" ht="15">
      <c r="A4" s="49" t="s">
        <v>250</v>
      </c>
      <c r="B4" s="125">
        <f>GETPIVOTDATA("Sum of Funding US$",'[11]Sheet1'!$A$3,"Appealing agency code",5)/1000000</f>
        <v>393.402647</v>
      </c>
      <c r="C4" s="126">
        <f>B4/L4</f>
        <v>0.7586266195318316</v>
      </c>
      <c r="D4" s="127">
        <v>19</v>
      </c>
      <c r="E4" s="126">
        <f>D4/M4</f>
        <v>0.296875</v>
      </c>
      <c r="F4" s="128">
        <f>B4/D4</f>
        <v>20.70540247368421</v>
      </c>
      <c r="G4" s="129">
        <f>GETPIVOTDATA("Sum of Funding US$",'[11]Sheet1'!$A$3,"Appealing agency code",11)/1000000</f>
        <v>125.169516</v>
      </c>
      <c r="H4" s="130">
        <f>G4/L4</f>
        <v>0.2413733804681683</v>
      </c>
      <c r="I4" s="131">
        <v>45</v>
      </c>
      <c r="J4" s="130">
        <f>I4/M4</f>
        <v>0.703125</v>
      </c>
      <c r="K4" s="132">
        <f>G4/I4</f>
        <v>2.7815448</v>
      </c>
      <c r="L4" s="133">
        <v>518.572163</v>
      </c>
      <c r="M4" s="135">
        <f>45+19</f>
        <v>64</v>
      </c>
    </row>
    <row r="7" ht="15">
      <c r="A7" s="288" t="s">
        <v>535</v>
      </c>
    </row>
    <row r="8" spans="1:3" ht="15">
      <c r="A8" s="288" t="s">
        <v>477</v>
      </c>
      <c r="C8" s="85"/>
    </row>
  </sheetData>
  <sheetProtection/>
  <mergeCells count="3">
    <mergeCell ref="B1:F1"/>
    <mergeCell ref="G1:K1"/>
    <mergeCell ref="L1:M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49">
      <selection activeCell="H70" sqref="H70"/>
    </sheetView>
  </sheetViews>
  <sheetFormatPr defaultColWidth="9.140625" defaultRowHeight="15"/>
  <cols>
    <col min="1" max="1" width="25.00390625" style="0" customWidth="1"/>
    <col min="2" max="2" width="12.00390625" style="0" customWidth="1"/>
    <col min="3" max="6" width="15.28125" style="0" bestFit="1" customWidth="1"/>
    <col min="7" max="7" width="14.28125" style="0" customWidth="1"/>
    <col min="8" max="8" width="14.28125" style="0" bestFit="1" customWidth="1"/>
    <col min="9" max="9" width="14.57421875" style="0" customWidth="1"/>
    <col min="10" max="10" width="15.57421875" style="0" customWidth="1"/>
    <col min="11" max="11" width="13.8515625" style="0" customWidth="1"/>
    <col min="12" max="12" width="16.8515625" style="0" bestFit="1" customWidth="1"/>
  </cols>
  <sheetData>
    <row r="1" ht="15.75" thickBot="1"/>
    <row r="2" spans="2:12" ht="15">
      <c r="B2" s="266">
        <v>1380</v>
      </c>
      <c r="C2" s="266">
        <v>1381</v>
      </c>
      <c r="D2" s="266">
        <v>1382</v>
      </c>
      <c r="E2" s="266">
        <v>1383</v>
      </c>
      <c r="F2" s="266">
        <v>1384</v>
      </c>
      <c r="G2" s="266">
        <v>1385</v>
      </c>
      <c r="H2" s="266">
        <v>1386</v>
      </c>
      <c r="I2" s="266">
        <v>1387</v>
      </c>
      <c r="J2" s="266">
        <v>1388</v>
      </c>
      <c r="K2" s="266">
        <v>1389</v>
      </c>
      <c r="L2" t="s">
        <v>24</v>
      </c>
    </row>
    <row r="3" spans="1:12" ht="15">
      <c r="A3" t="s">
        <v>125</v>
      </c>
      <c r="B3" s="116">
        <f>'[12]Report_-_11-01-16_07-21-53230 1'!C6+'[12]Report_-_11-01-16_07-21-53230 1'!C8+'[12]Report_-_11-01-16_07-21-53230 1'!C17+'[12]Report_-_11-01-16_07-21-53230 1'!C41+'[12]Report_-_11-01-16_07-21-53230 1'!C57</f>
        <v>0</v>
      </c>
      <c r="C3" s="116">
        <f>'[12]Report_-_11-01-16_07-21-53230 1'!D6+'[12]Report_-_11-01-16_07-21-53230 1'!D8+'[12]Report_-_11-01-16_07-21-53230 1'!D17+'[12]Report_-_11-01-16_07-21-53230 1'!D41+'[12]Report_-_11-01-16_07-21-53230 1'!D57</f>
        <v>135415691</v>
      </c>
      <c r="D3" s="116">
        <f>'[12]Report_-_11-01-16_07-21-53230 1'!E6+'[12]Report_-_11-01-16_07-21-53230 1'!E8+'[12]Report_-_11-01-16_07-21-53230 1'!E17+'[12]Report_-_11-01-16_07-21-53230 1'!E41+'[12]Report_-_11-01-16_07-21-53230 1'!E57</f>
        <v>651269600</v>
      </c>
      <c r="E3" s="116">
        <f>'[12]Report_-_11-01-16_07-21-53230 1'!F6+'[12]Report_-_11-01-16_07-21-53230 1'!F8+'[12]Report_-_11-01-16_07-21-53230 1'!F17+'[12]Report_-_11-01-16_07-21-53230 1'!F41+'[12]Report_-_11-01-16_07-21-53230 1'!F57</f>
        <v>787088838</v>
      </c>
      <c r="F3" s="116">
        <f>'[12]Report_-_11-01-16_07-21-53230 1'!G6+'[12]Report_-_11-01-16_07-21-53230 1'!G8+'[12]Report_-_11-01-16_07-21-53230 1'!G17+'[12]Report_-_11-01-16_07-21-53230 1'!G41+'[12]Report_-_11-01-16_07-21-53230 1'!G57</f>
        <v>158022401</v>
      </c>
      <c r="G3" s="116">
        <f>'[12]Report_-_11-01-16_07-21-53230 1'!H6+'[12]Report_-_11-01-16_07-21-53230 1'!H8+'[12]Report_-_11-01-16_07-21-53230 1'!H17+'[12]Report_-_11-01-16_07-21-53230 1'!H41+'[12]Report_-_11-01-16_07-21-53230 1'!H57</f>
        <v>7337043</v>
      </c>
      <c r="H3" s="116">
        <f>'[12]Report_-_11-01-16_07-21-53230 1'!I6+'[12]Report_-_11-01-16_07-21-53230 1'!I8+'[12]Report_-_11-01-16_07-21-53230 1'!I17+'[12]Report_-_11-01-16_07-21-53230 1'!I41+'[12]Report_-_11-01-16_07-21-53230 1'!I57</f>
        <v>62773960</v>
      </c>
      <c r="I3" s="116">
        <f>'[12]Report_-_11-01-16_07-21-53230 1'!J6+'[12]Report_-_11-01-16_07-21-53230 1'!J8+'[12]Report_-_11-01-16_07-21-53230 1'!J17+'[12]Report_-_11-01-16_07-21-53230 1'!J41+'[12]Report_-_11-01-16_07-21-53230 1'!J57</f>
        <v>4502555</v>
      </c>
      <c r="J3" s="116">
        <f>'[12]Report_-_11-01-16_07-21-53230 1'!K6+'[12]Report_-_11-01-16_07-21-53230 1'!K8+'[12]Report_-_11-01-16_07-21-53230 1'!K17+'[12]Report_-_11-01-16_07-21-53230 1'!K41+'[12]Report_-_11-01-16_07-21-53230 1'!K57</f>
        <v>11973620</v>
      </c>
      <c r="K3" s="116">
        <f>'[12]Report_-_11-01-16_07-21-53230 1'!L6+'[12]Report_-_11-01-16_07-21-53230 1'!L8+'[12]Report_-_11-01-16_07-21-53230 1'!L17+'[12]Report_-_11-01-16_07-21-53230 1'!L41+'[12]Report_-_11-01-16_07-21-53230 1'!L57</f>
        <v>0</v>
      </c>
      <c r="L3" s="116">
        <f>SUM(B3:K3)</f>
        <v>1818383708</v>
      </c>
    </row>
    <row r="4" spans="1:12" ht="15">
      <c r="A4" t="s">
        <v>114</v>
      </c>
      <c r="B4" s="116">
        <f>'[12]Report_-_11-01-16_07-21-53230 1'!C7+'[12]Report_-_11-01-16_07-21-53230 1'!C67</f>
        <v>30954433</v>
      </c>
      <c r="C4" s="116">
        <f>'[12]Report_-_11-01-16_07-21-53230 1'!D7+'[12]Report_-_11-01-16_07-21-53230 1'!D67</f>
        <v>38989170</v>
      </c>
      <c r="D4" s="116">
        <f>'[12]Report_-_11-01-16_07-21-53230 1'!E7+'[12]Report_-_11-01-16_07-21-53230 1'!E67</f>
        <v>24913291</v>
      </c>
      <c r="E4" s="116">
        <f>'[12]Report_-_11-01-16_07-21-53230 1'!F7+'[12]Report_-_11-01-16_07-21-53230 1'!F67</f>
        <v>37580810</v>
      </c>
      <c r="F4" s="116">
        <f>'[12]Report_-_11-01-16_07-21-53230 1'!G7+'[12]Report_-_11-01-16_07-21-53230 1'!G67</f>
        <v>37768459</v>
      </c>
      <c r="G4" s="116">
        <f>'[12]Report_-_11-01-16_07-21-53230 1'!H7+'[12]Report_-_11-01-16_07-21-53230 1'!H67</f>
        <v>0</v>
      </c>
      <c r="H4" s="116">
        <f>'[12]Report_-_11-01-16_07-21-53230 1'!I7+'[12]Report_-_11-01-16_07-21-53230 1'!I67</f>
        <v>0</v>
      </c>
      <c r="I4" s="116">
        <f>'[12]Report_-_11-01-16_07-21-53230 1'!J7+'[12]Report_-_11-01-16_07-21-53230 1'!J67</f>
        <v>0</v>
      </c>
      <c r="J4" s="116">
        <f>'[12]Report_-_11-01-16_07-21-53230 1'!K7+'[12]Report_-_11-01-16_07-21-53230 1'!K67</f>
        <v>211208928</v>
      </c>
      <c r="K4" s="116">
        <f>'[12]Report_-_11-01-16_07-21-53230 1'!L7+'[12]Report_-_11-01-16_07-21-53230 1'!L67</f>
        <v>2038734</v>
      </c>
      <c r="L4" s="116">
        <f aca="true" t="shared" si="0" ref="L4:L67">SUM(B4:K4)</f>
        <v>383453825</v>
      </c>
    </row>
    <row r="5" spans="1:12" ht="15">
      <c r="A5" t="s">
        <v>110</v>
      </c>
      <c r="B5" s="116">
        <f>'[12]Report_-_11-01-16_07-21-53230 1'!C9+'[12]Report_-_11-01-16_07-21-53230 1'!C42</f>
        <v>7000000</v>
      </c>
      <c r="C5" s="116">
        <f>'[12]Report_-_11-01-16_07-21-53230 1'!D9+'[12]Report_-_11-01-16_07-21-53230 1'!D42</f>
        <v>926079</v>
      </c>
      <c r="D5" s="116">
        <f>'[12]Report_-_11-01-16_07-21-53230 1'!E9+'[12]Report_-_11-01-16_07-21-53230 1'!E42</f>
        <v>1660000</v>
      </c>
      <c r="E5" s="116">
        <f>'[12]Report_-_11-01-16_07-21-53230 1'!F9+'[12]Report_-_11-01-16_07-21-53230 1'!F42</f>
        <v>5860000</v>
      </c>
      <c r="F5" s="116">
        <f>'[12]Report_-_11-01-16_07-21-53230 1'!G9+'[12]Report_-_11-01-16_07-21-53230 1'!G42</f>
        <v>3990000</v>
      </c>
      <c r="G5" s="116">
        <f>'[12]Report_-_11-01-16_07-21-53230 1'!H9+'[12]Report_-_11-01-16_07-21-53230 1'!H42</f>
        <v>1097000</v>
      </c>
      <c r="H5" s="116">
        <f>'[12]Report_-_11-01-16_07-21-53230 1'!I9+'[12]Report_-_11-01-16_07-21-53230 1'!I42</f>
        <v>25841480</v>
      </c>
      <c r="I5" s="116">
        <f>'[12]Report_-_11-01-16_07-21-53230 1'!J9+'[12]Report_-_11-01-16_07-21-53230 1'!J42</f>
        <v>8200870</v>
      </c>
      <c r="J5" s="116">
        <f>'[12]Report_-_11-01-16_07-21-53230 1'!K9+'[12]Report_-_11-01-16_07-21-53230 1'!K42</f>
        <v>194516006</v>
      </c>
      <c r="K5" s="116">
        <f>'[12]Report_-_11-01-16_07-21-53230 1'!L9+'[12]Report_-_11-01-16_07-21-53230 1'!L42</f>
        <v>0</v>
      </c>
      <c r="L5" s="116">
        <f t="shared" si="0"/>
        <v>249091435</v>
      </c>
    </row>
    <row r="6" spans="1:12" ht="15">
      <c r="A6" t="s">
        <v>304</v>
      </c>
      <c r="B6" s="116">
        <f>'[12]Report_-_11-01-16_07-21-53230 1'!C10</f>
        <v>0</v>
      </c>
      <c r="C6" s="116">
        <f>'[12]Report_-_11-01-16_07-21-53230 1'!D10</f>
        <v>0</v>
      </c>
      <c r="D6" s="116">
        <f>'[12]Report_-_11-01-16_07-21-53230 1'!E10</f>
        <v>74000000</v>
      </c>
      <c r="E6" s="116">
        <f>'[12]Report_-_11-01-16_07-21-53230 1'!F10</f>
        <v>35000000</v>
      </c>
      <c r="F6" s="116">
        <f>'[12]Report_-_11-01-16_07-21-53230 1'!G10</f>
        <v>0</v>
      </c>
      <c r="G6" s="116">
        <f>'[12]Report_-_11-01-16_07-21-53230 1'!H10</f>
        <v>0</v>
      </c>
      <c r="H6" s="116">
        <f>'[12]Report_-_11-01-16_07-21-53230 1'!I10</f>
        <v>0</v>
      </c>
      <c r="I6" s="116">
        <f>'[12]Report_-_11-01-16_07-21-53230 1'!J10</f>
        <v>0</v>
      </c>
      <c r="J6" s="116">
        <f>'[12]Report_-_11-01-16_07-21-53230 1'!K10</f>
        <v>0</v>
      </c>
      <c r="K6" s="116">
        <f>'[12]Report_-_11-01-16_07-21-53230 1'!L10</f>
        <v>0</v>
      </c>
      <c r="L6" s="116">
        <f t="shared" si="0"/>
        <v>109000000</v>
      </c>
    </row>
    <row r="7" spans="1:12" ht="15">
      <c r="A7" t="s">
        <v>439</v>
      </c>
      <c r="B7" s="116">
        <f>'[12]Report_-_11-01-16_07-21-53230 1'!C11+'[12]Report_-_11-01-16_07-21-53230 1'!B36</f>
        <v>747000</v>
      </c>
      <c r="C7" s="116">
        <f>'[12]Report_-_11-01-16_07-21-53230 1'!D11+'[12]Report_-_11-01-16_07-21-53230 1'!C36</f>
        <v>11517167</v>
      </c>
      <c r="D7" s="116">
        <f>'[12]Report_-_11-01-16_07-21-53230 1'!E11+'[12]Report_-_11-01-16_07-21-53230 1'!D36</f>
        <v>10376302</v>
      </c>
      <c r="E7" s="116">
        <f>'[12]Report_-_11-01-16_07-21-53230 1'!F11+'[12]Report_-_11-01-16_07-21-53230 1'!E36</f>
        <v>34062652</v>
      </c>
      <c r="F7" s="116">
        <f>'[12]Report_-_11-01-16_07-21-53230 1'!G11+'[12]Report_-_11-01-16_07-21-53230 1'!F36</f>
        <v>3413644</v>
      </c>
      <c r="G7" s="116">
        <f>'[12]Report_-_11-01-16_07-21-53230 1'!H11+'[12]Report_-_11-01-16_07-21-53230 1'!G36</f>
        <v>7686000</v>
      </c>
      <c r="H7" s="116">
        <f>'[12]Report_-_11-01-16_07-21-53230 1'!I11+'[12]Report_-_11-01-16_07-21-53230 1'!H36</f>
        <v>17020626</v>
      </c>
      <c r="I7" s="116">
        <f>'[12]Report_-_11-01-16_07-21-53230 1'!J11+'[12]Report_-_11-01-16_07-21-53230 1'!I36</f>
        <v>0</v>
      </c>
      <c r="J7" s="116">
        <f>'[12]Report_-_11-01-16_07-21-53230 1'!K11+'[12]Report_-_11-01-16_07-21-53230 1'!J36</f>
        <v>0</v>
      </c>
      <c r="K7" s="116">
        <f>'[12]Report_-_11-01-16_07-21-53230 1'!L11+'[12]Report_-_11-01-16_07-21-53230 1'!K36</f>
        <v>0</v>
      </c>
      <c r="L7" s="116">
        <f t="shared" si="0"/>
        <v>84823391</v>
      </c>
    </row>
    <row r="8" spans="1:12" ht="15">
      <c r="A8" t="s">
        <v>106</v>
      </c>
      <c r="B8" s="116">
        <f>'[12]Report_-_11-01-16_07-21-53230 1'!C12</f>
        <v>4620000</v>
      </c>
      <c r="C8" s="116">
        <f>'[12]Report_-_11-01-16_07-21-53230 1'!D12</f>
        <v>4489806</v>
      </c>
      <c r="D8" s="116">
        <f>'[12]Report_-_11-01-16_07-21-53230 1'!E12</f>
        <v>647400</v>
      </c>
      <c r="E8" s="116">
        <f>'[12]Report_-_11-01-16_07-21-53230 1'!F12</f>
        <v>15232188</v>
      </c>
      <c r="F8" s="116">
        <f>'[12]Report_-_11-01-16_07-21-53230 1'!G12</f>
        <v>10023266</v>
      </c>
      <c r="G8" s="116">
        <f>'[12]Report_-_11-01-16_07-21-53230 1'!H12</f>
        <v>7295418</v>
      </c>
      <c r="H8" s="116">
        <f>'[12]Report_-_11-01-16_07-21-53230 1'!I12</f>
        <v>5694589</v>
      </c>
      <c r="I8" s="116">
        <f>'[12]Report_-_11-01-16_07-21-53230 1'!J12</f>
        <v>27991524</v>
      </c>
      <c r="J8" s="116">
        <f>'[12]Report_-_11-01-16_07-21-53230 1'!K12</f>
        <v>0</v>
      </c>
      <c r="K8" s="116">
        <f>'[12]Report_-_11-01-16_07-21-53230 1'!L12</f>
        <v>0</v>
      </c>
      <c r="L8" s="116">
        <f t="shared" si="0"/>
        <v>75994191</v>
      </c>
    </row>
    <row r="9" spans="1:12" ht="15">
      <c r="A9" t="s">
        <v>117</v>
      </c>
      <c r="B9" s="116">
        <f>'[12]Report_-_11-01-16_07-21-53230 1'!C13</f>
        <v>0</v>
      </c>
      <c r="C9" s="116">
        <f>'[12]Report_-_11-01-16_07-21-53230 1'!D13</f>
        <v>14880000</v>
      </c>
      <c r="D9" s="116">
        <f>'[12]Report_-_11-01-16_07-21-53230 1'!E13</f>
        <v>2394000</v>
      </c>
      <c r="E9" s="116">
        <f>'[12]Report_-_11-01-16_07-21-53230 1'!F13</f>
        <v>3912726</v>
      </c>
      <c r="F9" s="116">
        <f>'[12]Report_-_11-01-16_07-21-53230 1'!G13</f>
        <v>20075306</v>
      </c>
      <c r="G9" s="116">
        <f>'[12]Report_-_11-01-16_07-21-53230 1'!H13</f>
        <v>4245206</v>
      </c>
      <c r="H9" s="116">
        <f>'[12]Report_-_11-01-16_07-21-53230 1'!I13</f>
        <v>12859791</v>
      </c>
      <c r="I9" s="116">
        <f>'[12]Report_-_11-01-16_07-21-53230 1'!J13</f>
        <v>11409465</v>
      </c>
      <c r="J9" s="116">
        <f>'[12]Report_-_11-01-16_07-21-53230 1'!K13</f>
        <v>3913605</v>
      </c>
      <c r="K9" s="116">
        <f>'[12]Report_-_11-01-16_07-21-53230 1'!L13</f>
        <v>0</v>
      </c>
      <c r="L9" s="116">
        <f t="shared" si="0"/>
        <v>73690099</v>
      </c>
    </row>
    <row r="10" spans="1:12" ht="15">
      <c r="A10" t="s">
        <v>124</v>
      </c>
      <c r="B10" s="116">
        <f>'[12]Report_-_11-01-16_07-21-53230 1'!C14+'[12]Report_-_11-01-16_07-21-53230 1'!C20</f>
        <v>230280</v>
      </c>
      <c r="C10" s="116">
        <f>'[12]Report_-_11-01-16_07-21-53230 1'!D14+'[12]Report_-_11-01-16_07-21-53230 1'!D20</f>
        <v>500000</v>
      </c>
      <c r="D10" s="116">
        <f>'[12]Report_-_11-01-16_07-21-53230 1'!E14+'[12]Report_-_11-01-16_07-21-53230 1'!E20</f>
        <v>6627416</v>
      </c>
      <c r="E10" s="116">
        <f>'[12]Report_-_11-01-16_07-21-53230 1'!F14+'[12]Report_-_11-01-16_07-21-53230 1'!F20</f>
        <v>12679039</v>
      </c>
      <c r="F10" s="116">
        <f>'[12]Report_-_11-01-16_07-21-53230 1'!G14+'[12]Report_-_11-01-16_07-21-53230 1'!G20</f>
        <v>16215608</v>
      </c>
      <c r="G10" s="116">
        <f>'[12]Report_-_11-01-16_07-21-53230 1'!H14+'[12]Report_-_11-01-16_07-21-53230 1'!H20</f>
        <v>6130000</v>
      </c>
      <c r="H10" s="116">
        <f>'[12]Report_-_11-01-16_07-21-53230 1'!I14+'[12]Report_-_11-01-16_07-21-53230 1'!I20</f>
        <v>12493698</v>
      </c>
      <c r="I10" s="116">
        <f>'[12]Report_-_11-01-16_07-21-53230 1'!J14+'[12]Report_-_11-01-16_07-21-53230 1'!J20</f>
        <v>2107199</v>
      </c>
      <c r="J10" s="116">
        <f>'[12]Report_-_11-01-16_07-21-53230 1'!K14+'[12]Report_-_11-01-16_07-21-53230 1'!K20</f>
        <v>906659</v>
      </c>
      <c r="K10" s="116">
        <f>'[12]Report_-_11-01-16_07-21-53230 1'!L14+'[12]Report_-_11-01-16_07-21-53230 1'!L20</f>
        <v>0</v>
      </c>
      <c r="L10" s="116">
        <f t="shared" si="0"/>
        <v>57889899</v>
      </c>
    </row>
    <row r="11" spans="1:12" ht="15">
      <c r="A11" t="s">
        <v>33</v>
      </c>
      <c r="B11" s="116">
        <f>'[12]Report_-_11-01-16_07-21-53230 1'!C15</f>
        <v>0</v>
      </c>
      <c r="C11" s="116">
        <f>'[12]Report_-_11-01-16_07-21-53230 1'!D15</f>
        <v>1709400</v>
      </c>
      <c r="D11" s="116">
        <f>'[12]Report_-_11-01-16_07-21-53230 1'!E15</f>
        <v>12671878</v>
      </c>
      <c r="E11" s="116">
        <f>'[12]Report_-_11-01-16_07-21-53230 1'!F15</f>
        <v>14414208</v>
      </c>
      <c r="F11" s="116">
        <f>'[12]Report_-_11-01-16_07-21-53230 1'!G15</f>
        <v>3322151</v>
      </c>
      <c r="G11" s="116">
        <f>'[12]Report_-_11-01-16_07-21-53230 1'!H15</f>
        <v>472068</v>
      </c>
      <c r="H11" s="116">
        <f>'[12]Report_-_11-01-16_07-21-53230 1'!I15</f>
        <v>200000</v>
      </c>
      <c r="I11" s="116">
        <f>'[12]Report_-_11-01-16_07-21-53230 1'!J15</f>
        <v>10235538</v>
      </c>
      <c r="J11" s="116">
        <f>'[12]Report_-_11-01-16_07-21-53230 1'!K15</f>
        <v>0</v>
      </c>
      <c r="K11" s="116">
        <f>'[12]Report_-_11-01-16_07-21-53230 1'!L15</f>
        <v>0</v>
      </c>
      <c r="L11" s="116">
        <f t="shared" si="0"/>
        <v>43025243</v>
      </c>
    </row>
    <row r="12" spans="1:12" ht="15">
      <c r="A12" t="s">
        <v>108</v>
      </c>
      <c r="B12" s="116">
        <f>'[12]Report_-_11-01-16_07-21-53230 1'!C16</f>
        <v>992076</v>
      </c>
      <c r="C12" s="116">
        <f>'[12]Report_-_11-01-16_07-21-53230 1'!D16</f>
        <v>1434655</v>
      </c>
      <c r="D12" s="116">
        <f>'[12]Report_-_11-01-16_07-21-53230 1'!E16</f>
        <v>2724200</v>
      </c>
      <c r="E12" s="116">
        <f>'[12]Report_-_11-01-16_07-21-53230 1'!F16</f>
        <v>3211491</v>
      </c>
      <c r="F12" s="116">
        <f>'[12]Report_-_11-01-16_07-21-53230 1'!G16</f>
        <v>3547965</v>
      </c>
      <c r="G12" s="116">
        <f>'[12]Report_-_11-01-16_07-21-53230 1'!H16</f>
        <v>11341624</v>
      </c>
      <c r="H12" s="116">
        <f>'[12]Report_-_11-01-16_07-21-53230 1'!I16</f>
        <v>10652920</v>
      </c>
      <c r="I12" s="116">
        <f>'[12]Report_-_11-01-16_07-21-53230 1'!J16</f>
        <v>2225080</v>
      </c>
      <c r="J12" s="116">
        <f>'[12]Report_-_11-01-16_07-21-53230 1'!K16</f>
        <v>0</v>
      </c>
      <c r="K12" s="116">
        <f>'[12]Report_-_11-01-16_07-21-53230 1'!L16</f>
        <v>0</v>
      </c>
      <c r="L12" s="116">
        <f t="shared" si="0"/>
        <v>36130011</v>
      </c>
    </row>
    <row r="13" spans="1:12" ht="15">
      <c r="A13" t="s">
        <v>440</v>
      </c>
      <c r="B13" s="116">
        <f>'[12]Report_-_11-01-16_07-21-53230 1'!C18</f>
        <v>0</v>
      </c>
      <c r="C13" s="116">
        <f>'[12]Report_-_11-01-16_07-21-53230 1'!D18</f>
        <v>0</v>
      </c>
      <c r="D13" s="116">
        <f>'[12]Report_-_11-01-16_07-21-53230 1'!E18</f>
        <v>0</v>
      </c>
      <c r="E13" s="116">
        <f>'[12]Report_-_11-01-16_07-21-53230 1'!F18</f>
        <v>10500000</v>
      </c>
      <c r="F13" s="116">
        <f>'[12]Report_-_11-01-16_07-21-53230 1'!G18</f>
        <v>11000000</v>
      </c>
      <c r="G13" s="116">
        <f>'[12]Report_-_11-01-16_07-21-53230 1'!H18</f>
        <v>0</v>
      </c>
      <c r="H13" s="116">
        <f>'[12]Report_-_11-01-16_07-21-53230 1'!I18</f>
        <v>2020492</v>
      </c>
      <c r="I13" s="116">
        <f>'[12]Report_-_11-01-16_07-21-53230 1'!J18</f>
        <v>0</v>
      </c>
      <c r="J13" s="116">
        <f>'[12]Report_-_11-01-16_07-21-53230 1'!K18</f>
        <v>0</v>
      </c>
      <c r="K13" s="116">
        <f>'[12]Report_-_11-01-16_07-21-53230 1'!L18</f>
        <v>0</v>
      </c>
      <c r="L13" s="116">
        <f t="shared" si="0"/>
        <v>23520492</v>
      </c>
    </row>
    <row r="14" spans="1:12" ht="15">
      <c r="A14" t="s">
        <v>113</v>
      </c>
      <c r="B14" s="116">
        <f>'[12]Report_-_11-01-16_07-21-53230 1'!C19</f>
        <v>0</v>
      </c>
      <c r="C14" s="116">
        <f>'[12]Report_-_11-01-16_07-21-53230 1'!D19</f>
        <v>5194667</v>
      </c>
      <c r="D14" s="116">
        <f>'[12]Report_-_11-01-16_07-21-53230 1'!E19</f>
        <v>3808630</v>
      </c>
      <c r="E14" s="116">
        <f>'[12]Report_-_11-01-16_07-21-53230 1'!F19</f>
        <v>0</v>
      </c>
      <c r="F14" s="116">
        <f>'[12]Report_-_11-01-16_07-21-53230 1'!G19</f>
        <v>2619038</v>
      </c>
      <c r="G14" s="116">
        <f>'[12]Report_-_11-01-16_07-21-53230 1'!H19</f>
        <v>0</v>
      </c>
      <c r="H14" s="116">
        <f>'[12]Report_-_11-01-16_07-21-53230 1'!I19</f>
        <v>2249887</v>
      </c>
      <c r="I14" s="116">
        <f>'[12]Report_-_11-01-16_07-21-53230 1'!J19</f>
        <v>5620340</v>
      </c>
      <c r="J14" s="116">
        <f>'[12]Report_-_11-01-16_07-21-53230 1'!K19</f>
        <v>1136364</v>
      </c>
      <c r="K14" s="116">
        <f>'[12]Report_-_11-01-16_07-21-53230 1'!L19</f>
        <v>1285842</v>
      </c>
      <c r="L14" s="116">
        <f t="shared" si="0"/>
        <v>21914768</v>
      </c>
    </row>
    <row r="15" spans="1:12" ht="15">
      <c r="A15" t="s">
        <v>122</v>
      </c>
      <c r="B15" s="116">
        <f>'[12]Report_-_11-01-16_07-21-53230 1'!C24+'[12]Report_-_11-01-16_07-21-53230 1'!C30+'[12]Report_-_11-01-16_07-21-53230 1'!C31</f>
        <v>0</v>
      </c>
      <c r="C15" s="116">
        <f>'[12]Report_-_11-01-16_07-21-53230 1'!D24+'[12]Report_-_11-01-16_07-21-53230 1'!D30+'[12]Report_-_11-01-16_07-21-53230 1'!D31</f>
        <v>0</v>
      </c>
      <c r="D15" s="116">
        <f>'[12]Report_-_11-01-16_07-21-53230 1'!E24+'[12]Report_-_11-01-16_07-21-53230 1'!E30+'[12]Report_-_11-01-16_07-21-53230 1'!E31</f>
        <v>1290000</v>
      </c>
      <c r="E15" s="116">
        <f>'[12]Report_-_11-01-16_07-21-53230 1'!F24+'[12]Report_-_11-01-16_07-21-53230 1'!F30+'[12]Report_-_11-01-16_07-21-53230 1'!F31</f>
        <v>403714</v>
      </c>
      <c r="F15" s="116">
        <f>'[12]Report_-_11-01-16_07-21-53230 1'!G24+'[12]Report_-_11-01-16_07-21-53230 1'!G30+'[12]Report_-_11-01-16_07-21-53230 1'!G31</f>
        <v>3700714</v>
      </c>
      <c r="G15" s="116">
        <f>'[12]Report_-_11-01-16_07-21-53230 1'!H24+'[12]Report_-_11-01-16_07-21-53230 1'!H30+'[12]Report_-_11-01-16_07-21-53230 1'!H31</f>
        <v>2142857</v>
      </c>
      <c r="H15" s="116">
        <f>'[12]Report_-_11-01-16_07-21-53230 1'!I24+'[12]Report_-_11-01-16_07-21-53230 1'!I30+'[12]Report_-_11-01-16_07-21-53230 1'!I31</f>
        <v>3669999</v>
      </c>
      <c r="I15" s="116">
        <f>'[12]Report_-_11-01-16_07-21-53230 1'!J24+'[12]Report_-_11-01-16_07-21-53230 1'!J30+'[12]Report_-_11-01-16_07-21-53230 1'!J31</f>
        <v>4122998</v>
      </c>
      <c r="J15" s="116">
        <f>'[12]Report_-_11-01-16_07-21-53230 1'!K24+'[12]Report_-_11-01-16_07-21-53230 1'!K30+'[12]Report_-_11-01-16_07-21-53230 1'!K31</f>
        <v>5186998</v>
      </c>
      <c r="K15" s="116">
        <f>'[12]Report_-_11-01-16_07-21-53230 1'!L24+'[12]Report_-_11-01-16_07-21-53230 1'!L30+'[12]Report_-_11-01-16_07-21-53230 1'!L31</f>
        <v>0</v>
      </c>
      <c r="L15" s="116">
        <f>SUM(B15:K15)</f>
        <v>20517280</v>
      </c>
    </row>
    <row r="16" spans="1:12" ht="15">
      <c r="A16" t="s">
        <v>107</v>
      </c>
      <c r="B16" s="116">
        <f>'[12]Report_-_11-01-16_07-21-53230 1'!C21</f>
        <v>0</v>
      </c>
      <c r="C16" s="116">
        <f>'[12]Report_-_11-01-16_07-21-53230 1'!D21</f>
        <v>5708653</v>
      </c>
      <c r="D16" s="116">
        <f>'[12]Report_-_11-01-16_07-21-53230 1'!E21</f>
        <v>0</v>
      </c>
      <c r="E16" s="116">
        <f>'[12]Report_-_11-01-16_07-21-53230 1'!F21</f>
        <v>2414664</v>
      </c>
      <c r="F16" s="116">
        <f>'[12]Report_-_11-01-16_07-21-53230 1'!G21</f>
        <v>157762</v>
      </c>
      <c r="G16" s="116">
        <f>'[12]Report_-_11-01-16_07-21-53230 1'!H21</f>
        <v>4170000</v>
      </c>
      <c r="H16" s="116">
        <f>'[12]Report_-_11-01-16_07-21-53230 1'!I21</f>
        <v>340000</v>
      </c>
      <c r="I16" s="116">
        <f>'[12]Report_-_11-01-16_07-21-53230 1'!J21</f>
        <v>0</v>
      </c>
      <c r="J16" s="116">
        <f>'[12]Report_-_11-01-16_07-21-53230 1'!K21</f>
        <v>0</v>
      </c>
      <c r="K16" s="116">
        <f>'[12]Report_-_11-01-16_07-21-53230 1'!L21</f>
        <v>0</v>
      </c>
      <c r="L16" s="116">
        <f t="shared" si="0"/>
        <v>12791079</v>
      </c>
    </row>
    <row r="17" spans="1:12" ht="15">
      <c r="A17" t="s">
        <v>224</v>
      </c>
      <c r="B17" s="116">
        <f>'[12]Report_-_11-01-16_07-21-53230 1'!C22</f>
        <v>0</v>
      </c>
      <c r="C17" s="116">
        <f>'[12]Report_-_11-01-16_07-21-53230 1'!D22</f>
        <v>0</v>
      </c>
      <c r="D17" s="116">
        <f>'[12]Report_-_11-01-16_07-21-53230 1'!E22</f>
        <v>2942042</v>
      </c>
      <c r="E17" s="116">
        <f>'[12]Report_-_11-01-16_07-21-53230 1'!F22</f>
        <v>2906831</v>
      </c>
      <c r="F17" s="116">
        <f>'[12]Report_-_11-01-16_07-21-53230 1'!G22</f>
        <v>6526661</v>
      </c>
      <c r="G17" s="116">
        <f>'[12]Report_-_11-01-16_07-21-53230 1'!H22</f>
        <v>0</v>
      </c>
      <c r="H17" s="116">
        <f>'[12]Report_-_11-01-16_07-21-53230 1'!I22</f>
        <v>0</v>
      </c>
      <c r="I17" s="116">
        <f>'[12]Report_-_11-01-16_07-21-53230 1'!J22</f>
        <v>0</v>
      </c>
      <c r="J17" s="116">
        <f>'[12]Report_-_11-01-16_07-21-53230 1'!K22</f>
        <v>0</v>
      </c>
      <c r="K17" s="116">
        <f>'[12]Report_-_11-01-16_07-21-53230 1'!L22</f>
        <v>0</v>
      </c>
      <c r="L17" s="116">
        <f t="shared" si="0"/>
        <v>12375534</v>
      </c>
    </row>
    <row r="18" spans="1:12" ht="15">
      <c r="A18" t="s">
        <v>441</v>
      </c>
      <c r="B18">
        <f>'[12]Report_-_11-01-16_07-21-53230 1'!C27+'[12]Report_-_11-01-16_07-21-53230 1'!C44+'[12]Report_-_11-01-16_07-21-53230 1'!C46+'[12]Report_-_11-01-16_07-21-53230 1'!C47+'[12]Report_-_11-01-16_07-21-53230 1'!C49+'[12]Report_-_11-01-16_07-21-53230 1'!C54+'[12]Report_-_11-01-16_07-21-53230 1'!C61</f>
        <v>0</v>
      </c>
      <c r="C18">
        <f>'[12]Report_-_11-01-16_07-21-53230 1'!D27+'[12]Report_-_11-01-16_07-21-53230 1'!D44+'[12]Report_-_11-01-16_07-21-53230 1'!D46+'[12]Report_-_11-01-16_07-21-53230 1'!D47+'[12]Report_-_11-01-16_07-21-53230 1'!D49+'[12]Report_-_11-01-16_07-21-53230 1'!D54+'[12]Report_-_11-01-16_07-21-53230 1'!D61</f>
        <v>34379</v>
      </c>
      <c r="D18">
        <f>'[12]Report_-_11-01-16_07-21-53230 1'!E27+'[12]Report_-_11-01-16_07-21-53230 1'!E44+'[12]Report_-_11-01-16_07-21-53230 1'!E46+'[12]Report_-_11-01-16_07-21-53230 1'!E47+'[12]Report_-_11-01-16_07-21-53230 1'!E49+'[12]Report_-_11-01-16_07-21-53230 1'!E54+'[12]Report_-_11-01-16_07-21-53230 1'!E61</f>
        <v>7348199</v>
      </c>
      <c r="E18">
        <f>'[12]Report_-_11-01-16_07-21-53230 1'!F27+'[12]Report_-_11-01-16_07-21-53230 1'!F44+'[12]Report_-_11-01-16_07-21-53230 1'!F46+'[12]Report_-_11-01-16_07-21-53230 1'!F47+'[12]Report_-_11-01-16_07-21-53230 1'!F49+'[12]Report_-_11-01-16_07-21-53230 1'!F54+'[12]Report_-_11-01-16_07-21-53230 1'!F61</f>
        <v>30000</v>
      </c>
      <c r="F18">
        <f>'[12]Report_-_11-01-16_07-21-53230 1'!G27+'[12]Report_-_11-01-16_07-21-53230 1'!G44+'[12]Report_-_11-01-16_07-21-53230 1'!G46+'[12]Report_-_11-01-16_07-21-53230 1'!G47+'[12]Report_-_11-01-16_07-21-53230 1'!G49+'[12]Report_-_11-01-16_07-21-53230 1'!G54+'[12]Report_-_11-01-16_07-21-53230 1'!G61</f>
        <v>2473000</v>
      </c>
      <c r="G18">
        <f>'[12]Report_-_11-01-16_07-21-53230 1'!H27+'[12]Report_-_11-01-16_07-21-53230 1'!H44+'[12]Report_-_11-01-16_07-21-53230 1'!H46+'[12]Report_-_11-01-16_07-21-53230 1'!H47+'[12]Report_-_11-01-16_07-21-53230 1'!H49+'[12]Report_-_11-01-16_07-21-53230 1'!H54+'[12]Report_-_11-01-16_07-21-53230 1'!H61</f>
        <v>0</v>
      </c>
      <c r="H18">
        <f>'[12]Report_-_11-01-16_07-21-53230 1'!I27+'[12]Report_-_11-01-16_07-21-53230 1'!I44+'[12]Report_-_11-01-16_07-21-53230 1'!I46+'[12]Report_-_11-01-16_07-21-53230 1'!I47+'[12]Report_-_11-01-16_07-21-53230 1'!I49+'[12]Report_-_11-01-16_07-21-53230 1'!I54+'[12]Report_-_11-01-16_07-21-53230 1'!I61</f>
        <v>0</v>
      </c>
      <c r="I18">
        <f>'[12]Report_-_11-01-16_07-21-53230 1'!J27+'[12]Report_-_11-01-16_07-21-53230 1'!J44+'[12]Report_-_11-01-16_07-21-53230 1'!J46+'[12]Report_-_11-01-16_07-21-53230 1'!J47+'[12]Report_-_11-01-16_07-21-53230 1'!J49+'[12]Report_-_11-01-16_07-21-53230 1'!J54+'[12]Report_-_11-01-16_07-21-53230 1'!J61</f>
        <v>1723676</v>
      </c>
      <c r="J18">
        <f>'[12]Report_-_11-01-16_07-21-53230 1'!K27+'[12]Report_-_11-01-16_07-21-53230 1'!K44+'[12]Report_-_11-01-16_07-21-53230 1'!K46+'[12]Report_-_11-01-16_07-21-53230 1'!K47+'[12]Report_-_11-01-16_07-21-53230 1'!K49+'[12]Report_-_11-01-16_07-21-53230 1'!K54+'[12]Report_-_11-01-16_07-21-53230 1'!K61</f>
        <v>390616</v>
      </c>
      <c r="K18">
        <f>'[12]Report_-_11-01-16_07-21-53230 1'!L27+'[12]Report_-_11-01-16_07-21-53230 1'!L44+'[12]Report_-_11-01-16_07-21-53230 1'!L46+'[12]Report_-_11-01-16_07-21-53230 1'!L47+'[12]Report_-_11-01-16_07-21-53230 1'!L49+'[12]Report_-_11-01-16_07-21-53230 1'!L54+'[12]Report_-_11-01-16_07-21-53230 1'!L61</f>
        <v>0</v>
      </c>
      <c r="L18" s="116">
        <f>SUM(B18:K18)</f>
        <v>11999870</v>
      </c>
    </row>
    <row r="19" spans="1:12" ht="15">
      <c r="A19" t="s">
        <v>109</v>
      </c>
      <c r="B19" s="116">
        <f>'[12]Report_-_11-01-16_07-21-53230 1'!C23</f>
        <v>0</v>
      </c>
      <c r="C19" s="116">
        <f>'[12]Report_-_11-01-16_07-21-53230 1'!D23</f>
        <v>0</v>
      </c>
      <c r="D19" s="116">
        <f>'[12]Report_-_11-01-16_07-21-53230 1'!E23</f>
        <v>0</v>
      </c>
      <c r="E19" s="116">
        <f>'[12]Report_-_11-01-16_07-21-53230 1'!F23</f>
        <v>4428021</v>
      </c>
      <c r="F19" s="116">
        <f>'[12]Report_-_11-01-16_07-21-53230 1'!G23</f>
        <v>0</v>
      </c>
      <c r="G19" s="116">
        <f>'[12]Report_-_11-01-16_07-21-53230 1'!H23</f>
        <v>0</v>
      </c>
      <c r="H19" s="116">
        <f>'[12]Report_-_11-01-16_07-21-53230 1'!I23</f>
        <v>2770000</v>
      </c>
      <c r="I19" s="116">
        <f>'[12]Report_-_11-01-16_07-21-53230 1'!J23</f>
        <v>880000</v>
      </c>
      <c r="J19" s="116">
        <f>'[12]Report_-_11-01-16_07-21-53230 1'!K23</f>
        <v>400000</v>
      </c>
      <c r="K19" s="116">
        <f>'[12]Report_-_11-01-16_07-21-53230 1'!L23</f>
        <v>1408314</v>
      </c>
      <c r="L19" s="116">
        <f t="shared" si="0"/>
        <v>9886335</v>
      </c>
    </row>
    <row r="20" spans="1:12" ht="15">
      <c r="A20" t="s">
        <v>34</v>
      </c>
      <c r="B20" s="116">
        <f>'[12]Report_-_11-01-16_07-21-53230 1'!C25</f>
        <v>0</v>
      </c>
      <c r="C20" s="116">
        <f>'[12]Report_-_11-01-16_07-21-53230 1'!D25</f>
        <v>0</v>
      </c>
      <c r="D20" s="116">
        <f>'[12]Report_-_11-01-16_07-21-53230 1'!E25</f>
        <v>4314000</v>
      </c>
      <c r="E20" s="116">
        <f>'[12]Report_-_11-01-16_07-21-53230 1'!F25</f>
        <v>850000</v>
      </c>
      <c r="F20" s="116">
        <f>'[12]Report_-_11-01-16_07-21-53230 1'!G25</f>
        <v>1000000</v>
      </c>
      <c r="G20" s="116">
        <f>'[12]Report_-_11-01-16_07-21-53230 1'!H25</f>
        <v>600000</v>
      </c>
      <c r="H20" s="116">
        <f>'[12]Report_-_11-01-16_07-21-53230 1'!I25</f>
        <v>1050000</v>
      </c>
      <c r="I20" s="116">
        <f>'[12]Report_-_11-01-16_07-21-53230 1'!J25</f>
        <v>0</v>
      </c>
      <c r="J20" s="116">
        <f>'[12]Report_-_11-01-16_07-21-53230 1'!K25</f>
        <v>0</v>
      </c>
      <c r="K20" s="116">
        <f>'[12]Report_-_11-01-16_07-21-53230 1'!L25</f>
        <v>0</v>
      </c>
      <c r="L20" s="116">
        <f t="shared" si="0"/>
        <v>7814000</v>
      </c>
    </row>
    <row r="21" spans="1:12" ht="15">
      <c r="A21" t="s">
        <v>442</v>
      </c>
      <c r="B21" s="116">
        <f>'[12]Report_-_11-01-16_07-21-53230 1'!C26</f>
        <v>0</v>
      </c>
      <c r="C21" s="116">
        <f>'[12]Report_-_11-01-16_07-21-53230 1'!D26</f>
        <v>0</v>
      </c>
      <c r="D21" s="116">
        <f>'[12]Report_-_11-01-16_07-21-53230 1'!E26</f>
        <v>6680805</v>
      </c>
      <c r="E21" s="116">
        <f>'[12]Report_-_11-01-16_07-21-53230 1'!F26</f>
        <v>308000</v>
      </c>
      <c r="F21" s="116">
        <f>'[12]Report_-_11-01-16_07-21-53230 1'!G26</f>
        <v>0</v>
      </c>
      <c r="G21" s="116">
        <f>'[12]Report_-_11-01-16_07-21-53230 1'!H26</f>
        <v>0</v>
      </c>
      <c r="H21" s="116">
        <f>'[12]Report_-_11-01-16_07-21-53230 1'!I26</f>
        <v>45718</v>
      </c>
      <c r="I21" s="116">
        <f>'[12]Report_-_11-01-16_07-21-53230 1'!J26</f>
        <v>0</v>
      </c>
      <c r="J21" s="116">
        <f>'[12]Report_-_11-01-16_07-21-53230 1'!K26</f>
        <v>0</v>
      </c>
      <c r="K21" s="116">
        <f>'[12]Report_-_11-01-16_07-21-53230 1'!L26</f>
        <v>0</v>
      </c>
      <c r="L21" s="116">
        <f t="shared" si="0"/>
        <v>7034523</v>
      </c>
    </row>
    <row r="22" spans="1:12" ht="15">
      <c r="A22" t="s">
        <v>119</v>
      </c>
      <c r="B22" s="116">
        <f>'[12]Report_-_11-01-16_07-21-53230 1'!C28+'[12]Report_-_11-01-16_07-21-53230 1'!C39</f>
        <v>0</v>
      </c>
      <c r="C22" s="116">
        <f>'[12]Report_-_11-01-16_07-21-53230 1'!D28+'[12]Report_-_11-01-16_07-21-53230 1'!D39</f>
        <v>0</v>
      </c>
      <c r="D22" s="116">
        <f>'[12]Report_-_11-01-16_07-21-53230 1'!E28+'[12]Report_-_11-01-16_07-21-53230 1'!E39</f>
        <v>1595000</v>
      </c>
      <c r="E22" s="116">
        <f>'[12]Report_-_11-01-16_07-21-53230 1'!F28+'[12]Report_-_11-01-16_07-21-53230 1'!F39</f>
        <v>0</v>
      </c>
      <c r="F22" s="116">
        <f>'[12]Report_-_11-01-16_07-21-53230 1'!G28+'[12]Report_-_11-01-16_07-21-53230 1'!G39</f>
        <v>110000</v>
      </c>
      <c r="G22" s="116">
        <f>'[12]Report_-_11-01-16_07-21-53230 1'!H28+'[12]Report_-_11-01-16_07-21-53230 1'!H39</f>
        <v>0</v>
      </c>
      <c r="H22" s="116">
        <f>'[12]Report_-_11-01-16_07-21-53230 1'!I28+'[12]Report_-_11-01-16_07-21-53230 1'!I39</f>
        <v>775000</v>
      </c>
      <c r="I22" s="116">
        <f>'[12]Report_-_11-01-16_07-21-53230 1'!J28+'[12]Report_-_11-01-16_07-21-53230 1'!J39</f>
        <v>0</v>
      </c>
      <c r="J22" s="116">
        <f>'[12]Report_-_11-01-16_07-21-53230 1'!K28+'[12]Report_-_11-01-16_07-21-53230 1'!K39</f>
        <v>6000000</v>
      </c>
      <c r="K22" s="116">
        <f>'[12]Report_-_11-01-16_07-21-53230 1'!L28+'[12]Report_-_11-01-16_07-21-53230 1'!L39</f>
        <v>0</v>
      </c>
      <c r="L22" s="116">
        <f t="shared" si="0"/>
        <v>8480000</v>
      </c>
    </row>
    <row r="23" spans="1:12" ht="15">
      <c r="A23" t="s">
        <v>103</v>
      </c>
      <c r="B23" s="116">
        <f>'[12]Report_-_11-01-16_07-21-53230 1'!C29+'[12]Report_-_11-01-16_07-21-53230 1'!C51</f>
        <v>259700</v>
      </c>
      <c r="C23" s="116">
        <f>'[12]Report_-_11-01-16_07-21-53230 1'!D29+'[12]Report_-_11-01-16_07-21-53230 1'!D51</f>
        <v>0</v>
      </c>
      <c r="D23" s="116">
        <f>'[12]Report_-_11-01-16_07-21-53230 1'!E29+'[12]Report_-_11-01-16_07-21-53230 1'!E51</f>
        <v>630000</v>
      </c>
      <c r="E23" s="116">
        <f>'[12]Report_-_11-01-16_07-21-53230 1'!F29+'[12]Report_-_11-01-16_07-21-53230 1'!F51</f>
        <v>840970</v>
      </c>
      <c r="F23" s="116">
        <f>'[12]Report_-_11-01-16_07-21-53230 1'!G29+'[12]Report_-_11-01-16_07-21-53230 1'!G51</f>
        <v>340000</v>
      </c>
      <c r="G23" s="116">
        <f>'[12]Report_-_11-01-16_07-21-53230 1'!H29+'[12]Report_-_11-01-16_07-21-53230 1'!H51</f>
        <v>0</v>
      </c>
      <c r="H23" s="116">
        <f>'[12]Report_-_11-01-16_07-21-53230 1'!I29+'[12]Report_-_11-01-16_07-21-53230 1'!I51</f>
        <v>0</v>
      </c>
      <c r="I23" s="116">
        <f>'[12]Report_-_11-01-16_07-21-53230 1'!J29+'[12]Report_-_11-01-16_07-21-53230 1'!J51</f>
        <v>0</v>
      </c>
      <c r="J23" s="116">
        <f>'[12]Report_-_11-01-16_07-21-53230 1'!K29+'[12]Report_-_11-01-16_07-21-53230 1'!K51</f>
        <v>4375000</v>
      </c>
      <c r="K23" s="116">
        <f>'[12]Report_-_11-01-16_07-21-53230 1'!L29+'[12]Report_-_11-01-16_07-21-53230 1'!L51</f>
        <v>0</v>
      </c>
      <c r="L23" s="116">
        <f t="shared" si="0"/>
        <v>6445670</v>
      </c>
    </row>
    <row r="24" spans="1:12" ht="15">
      <c r="A24" t="s">
        <v>134</v>
      </c>
      <c r="B24" s="116">
        <f>'[12]Report_-_11-01-16_07-21-53230 1'!C32</f>
        <v>0</v>
      </c>
      <c r="C24" s="116">
        <f>'[12]Report_-_11-01-16_07-21-53230 1'!D32</f>
        <v>1000000</v>
      </c>
      <c r="D24" s="116">
        <f>'[12]Report_-_11-01-16_07-21-53230 1'!E32</f>
        <v>0</v>
      </c>
      <c r="E24" s="116">
        <f>'[12]Report_-_11-01-16_07-21-53230 1'!F32</f>
        <v>0</v>
      </c>
      <c r="F24" s="116">
        <f>'[12]Report_-_11-01-16_07-21-53230 1'!G32</f>
        <v>772264</v>
      </c>
      <c r="G24" s="116">
        <f>'[12]Report_-_11-01-16_07-21-53230 1'!H32</f>
        <v>0</v>
      </c>
      <c r="H24" s="116">
        <f>'[12]Report_-_11-01-16_07-21-53230 1'!I32</f>
        <v>0</v>
      </c>
      <c r="I24" s="116">
        <f>'[12]Report_-_11-01-16_07-21-53230 1'!J32</f>
        <v>0</v>
      </c>
      <c r="J24" s="116">
        <f>'[12]Report_-_11-01-16_07-21-53230 1'!K32</f>
        <v>0</v>
      </c>
      <c r="K24" s="116">
        <f>'[12]Report_-_11-01-16_07-21-53230 1'!L32</f>
        <v>3242250</v>
      </c>
      <c r="L24" s="116">
        <f t="shared" si="0"/>
        <v>5014514</v>
      </c>
    </row>
    <row r="25" spans="1:12" ht="15">
      <c r="A25" t="s">
        <v>305</v>
      </c>
      <c r="B25" s="116">
        <f>'[12]Report_-_11-01-16_07-21-53230 1'!C33</f>
        <v>0</v>
      </c>
      <c r="C25" s="116">
        <f>'[12]Report_-_11-01-16_07-21-53230 1'!D33</f>
        <v>0</v>
      </c>
      <c r="D25" s="116">
        <f>'[12]Report_-_11-01-16_07-21-53230 1'!E33</f>
        <v>0</v>
      </c>
      <c r="E25" s="116">
        <f>'[12]Report_-_11-01-16_07-21-53230 1'!F33</f>
        <v>0</v>
      </c>
      <c r="F25" s="116">
        <f>'[12]Report_-_11-01-16_07-21-53230 1'!G33</f>
        <v>0</v>
      </c>
      <c r="G25" s="116">
        <f>'[12]Report_-_11-01-16_07-21-53230 1'!H33</f>
        <v>0</v>
      </c>
      <c r="H25" s="116">
        <f>'[12]Report_-_11-01-16_07-21-53230 1'!I33</f>
        <v>0</v>
      </c>
      <c r="I25" s="116">
        <f>'[12]Report_-_11-01-16_07-21-53230 1'!J33</f>
        <v>0</v>
      </c>
      <c r="J25" s="116">
        <f>'[12]Report_-_11-01-16_07-21-53230 1'!K33</f>
        <v>4748138</v>
      </c>
      <c r="K25" s="116">
        <f>'[12]Report_-_11-01-16_07-21-53230 1'!L33</f>
        <v>0</v>
      </c>
      <c r="L25" s="116">
        <f t="shared" si="0"/>
        <v>4748138</v>
      </c>
    </row>
    <row r="26" spans="1:12" ht="15">
      <c r="A26" t="s">
        <v>0</v>
      </c>
      <c r="B26" s="116">
        <f>'[12]Report_-_11-01-16_07-21-53230 1'!C34</f>
        <v>0</v>
      </c>
      <c r="C26" s="116">
        <f>'[12]Report_-_11-01-16_07-21-53230 1'!D34</f>
        <v>0</v>
      </c>
      <c r="D26" s="116">
        <f>'[12]Report_-_11-01-16_07-21-53230 1'!E34</f>
        <v>4100000</v>
      </c>
      <c r="E26" s="116">
        <f>'[12]Report_-_11-01-16_07-21-53230 1'!F34</f>
        <v>0</v>
      </c>
      <c r="F26" s="116">
        <f>'[12]Report_-_11-01-16_07-21-53230 1'!G34</f>
        <v>0</v>
      </c>
      <c r="G26" s="116">
        <f>'[12]Report_-_11-01-16_07-21-53230 1'!H34</f>
        <v>0</v>
      </c>
      <c r="H26" s="116">
        <f>'[12]Report_-_11-01-16_07-21-53230 1'!I34</f>
        <v>250000</v>
      </c>
      <c r="I26" s="116">
        <f>'[12]Report_-_11-01-16_07-21-53230 1'!J34</f>
        <v>0</v>
      </c>
      <c r="J26" s="116">
        <f>'[12]Report_-_11-01-16_07-21-53230 1'!K34</f>
        <v>0</v>
      </c>
      <c r="K26" s="116">
        <f>'[12]Report_-_11-01-16_07-21-53230 1'!L34</f>
        <v>0</v>
      </c>
      <c r="L26" s="116">
        <f t="shared" si="0"/>
        <v>4350000</v>
      </c>
    </row>
    <row r="27" spans="1:12" ht="15">
      <c r="A27" t="s">
        <v>123</v>
      </c>
      <c r="B27" s="116">
        <f>'[12]Report_-_11-01-16_07-21-53230 1'!C35</f>
        <v>0</v>
      </c>
      <c r="C27" s="116">
        <f>'[12]Report_-_11-01-16_07-21-53230 1'!D35</f>
        <v>18000</v>
      </c>
      <c r="D27" s="116">
        <f>'[12]Report_-_11-01-16_07-21-53230 1'!E35</f>
        <v>0</v>
      </c>
      <c r="E27" s="116">
        <f>'[12]Report_-_11-01-16_07-21-53230 1'!F35</f>
        <v>200000</v>
      </c>
      <c r="F27" s="116">
        <f>'[12]Report_-_11-01-16_07-21-53230 1'!G35</f>
        <v>2150000</v>
      </c>
      <c r="G27" s="116">
        <f>'[12]Report_-_11-01-16_07-21-53230 1'!H35</f>
        <v>500000</v>
      </c>
      <c r="H27" s="116">
        <f>'[12]Report_-_11-01-16_07-21-53230 1'!I35</f>
        <v>0</v>
      </c>
      <c r="I27" s="116">
        <f>'[12]Report_-_11-01-16_07-21-53230 1'!J35</f>
        <v>400000</v>
      </c>
      <c r="J27" s="116">
        <f>'[12]Report_-_11-01-16_07-21-53230 1'!K35</f>
        <v>250000</v>
      </c>
      <c r="K27" s="116">
        <f>'[12]Report_-_11-01-16_07-21-53230 1'!L35</f>
        <v>250000</v>
      </c>
      <c r="L27" s="116">
        <f t="shared" si="0"/>
        <v>3768000</v>
      </c>
    </row>
    <row r="28" spans="1:12" ht="15">
      <c r="A28" t="s">
        <v>105</v>
      </c>
      <c r="B28" s="116">
        <f>'[12]Report_-_11-01-16_07-21-53230 1'!C37</f>
        <v>1049600</v>
      </c>
      <c r="C28" s="116">
        <f>'[12]Report_-_11-01-16_07-21-53230 1'!D37</f>
        <v>222634</v>
      </c>
      <c r="D28" s="116">
        <f>'[12]Report_-_11-01-16_07-21-53230 1'!E37</f>
        <v>0</v>
      </c>
      <c r="E28" s="116">
        <f>'[12]Report_-_11-01-16_07-21-53230 1'!F37</f>
        <v>478618</v>
      </c>
      <c r="F28" s="116">
        <f>'[12]Report_-_11-01-16_07-21-53230 1'!G37</f>
        <v>0</v>
      </c>
      <c r="G28" s="116">
        <f>'[12]Report_-_11-01-16_07-21-53230 1'!H37</f>
        <v>1510000</v>
      </c>
      <c r="H28" s="116">
        <f>'[12]Report_-_11-01-16_07-21-53230 1'!I37</f>
        <v>0</v>
      </c>
      <c r="I28" s="116">
        <f>'[12]Report_-_11-01-16_07-21-53230 1'!J37</f>
        <v>0</v>
      </c>
      <c r="J28" s="116">
        <f>'[12]Report_-_11-01-16_07-21-53230 1'!K37</f>
        <v>0</v>
      </c>
      <c r="K28" s="116">
        <f>'[12]Report_-_11-01-16_07-21-53230 1'!L37</f>
        <v>0</v>
      </c>
      <c r="L28" s="116">
        <f t="shared" si="0"/>
        <v>3260852</v>
      </c>
    </row>
    <row r="29" spans="1:12" ht="15">
      <c r="A29" t="s">
        <v>10</v>
      </c>
      <c r="B29" s="116">
        <f>'[12]Report_-_11-01-16_07-21-53230 1'!C43</f>
        <v>0</v>
      </c>
      <c r="C29" s="116">
        <f>'[12]Report_-_11-01-16_07-21-53230 1'!D43</f>
        <v>0</v>
      </c>
      <c r="D29" s="116">
        <f>'[12]Report_-_11-01-16_07-21-53230 1'!E43</f>
        <v>0</v>
      </c>
      <c r="E29" s="116">
        <f>'[12]Report_-_11-01-16_07-21-53230 1'!F43</f>
        <v>750000</v>
      </c>
      <c r="F29" s="116">
        <f>'[12]Report_-_11-01-16_07-21-53230 1'!G43</f>
        <v>0</v>
      </c>
      <c r="G29" s="116">
        <f>'[12]Report_-_11-01-16_07-21-53230 1'!H43</f>
        <v>0</v>
      </c>
      <c r="H29" s="116">
        <f>'[12]Report_-_11-01-16_07-21-53230 1'!I43</f>
        <v>0</v>
      </c>
      <c r="I29" s="116">
        <f>'[12]Report_-_11-01-16_07-21-53230 1'!J43</f>
        <v>1470000</v>
      </c>
      <c r="J29" s="116">
        <f>'[12]Report_-_11-01-16_07-21-53230 1'!K43</f>
        <v>0</v>
      </c>
      <c r="K29" s="116">
        <f>'[12]Report_-_11-01-16_07-21-53230 1'!L43</f>
        <v>0</v>
      </c>
      <c r="L29" s="116">
        <f t="shared" si="0"/>
        <v>2220000</v>
      </c>
    </row>
    <row r="30" spans="1:12" ht="15">
      <c r="A30" t="s">
        <v>104</v>
      </c>
      <c r="B30">
        <f>'[12]Report_-_11-01-16_07-21-53230 1'!C45</f>
        <v>0</v>
      </c>
      <c r="C30">
        <f>'[12]Report_-_11-01-16_07-21-53230 1'!D45</f>
        <v>880626</v>
      </c>
      <c r="D30">
        <f>'[12]Report_-_11-01-16_07-21-53230 1'!E45</f>
        <v>0</v>
      </c>
      <c r="E30">
        <f>'[12]Report_-_11-01-16_07-21-53230 1'!F45</f>
        <v>717071</v>
      </c>
      <c r="F30">
        <f>'[12]Report_-_11-01-16_07-21-53230 1'!G45</f>
        <v>0</v>
      </c>
      <c r="G30">
        <f>'[12]Report_-_11-01-16_07-21-53230 1'!H45</f>
        <v>0</v>
      </c>
      <c r="H30">
        <f>'[12]Report_-_11-01-16_07-21-53230 1'!I45</f>
        <v>0</v>
      </c>
      <c r="I30">
        <f>'[12]Report_-_11-01-16_07-21-53230 1'!J45</f>
        <v>0</v>
      </c>
      <c r="J30">
        <f>'[12]Report_-_11-01-16_07-21-53230 1'!K45</f>
        <v>0</v>
      </c>
      <c r="K30">
        <f>'[12]Report_-_11-01-16_07-21-53230 1'!L45</f>
        <v>0</v>
      </c>
      <c r="L30" s="116">
        <f t="shared" si="0"/>
        <v>1597697</v>
      </c>
    </row>
    <row r="31" spans="1:12" ht="15">
      <c r="A31" t="s">
        <v>128</v>
      </c>
      <c r="B31">
        <f>'[12]Report_-_11-01-16_07-21-53230 1'!C48</f>
        <v>0</v>
      </c>
      <c r="C31">
        <f>'[12]Report_-_11-01-16_07-21-53230 1'!D48</f>
        <v>0</v>
      </c>
      <c r="D31">
        <f>'[12]Report_-_11-01-16_07-21-53230 1'!E48</f>
        <v>160400</v>
      </c>
      <c r="E31">
        <f>'[12]Report_-_11-01-16_07-21-53230 1'!F48</f>
        <v>208020</v>
      </c>
      <c r="F31">
        <f>'[12]Report_-_11-01-16_07-21-53230 1'!G48</f>
        <v>0</v>
      </c>
      <c r="G31">
        <f>'[12]Report_-_11-01-16_07-21-53230 1'!H48</f>
        <v>0</v>
      </c>
      <c r="H31">
        <f>'[12]Report_-_11-01-16_07-21-53230 1'!I48</f>
        <v>0</v>
      </c>
      <c r="I31">
        <f>'[12]Report_-_11-01-16_07-21-53230 1'!J48</f>
        <v>764099</v>
      </c>
      <c r="J31">
        <f>'[12]Report_-_11-01-16_07-21-53230 1'!K48</f>
        <v>0</v>
      </c>
      <c r="K31">
        <f>'[12]Report_-_11-01-16_07-21-53230 1'!L48</f>
        <v>0</v>
      </c>
      <c r="L31" s="116">
        <f t="shared" si="0"/>
        <v>1132519</v>
      </c>
    </row>
    <row r="32" spans="1:12" ht="15">
      <c r="A32" t="s">
        <v>30</v>
      </c>
      <c r="B32">
        <f>'[12]Report_-_11-01-16_07-21-53230 1'!C50</f>
        <v>0</v>
      </c>
      <c r="C32">
        <f>'[12]Report_-_11-01-16_07-21-53230 1'!D50</f>
        <v>0</v>
      </c>
      <c r="D32">
        <f>'[12]Report_-_11-01-16_07-21-53230 1'!E50</f>
        <v>0</v>
      </c>
      <c r="E32">
        <f>'[12]Report_-_11-01-16_07-21-53230 1'!F50</f>
        <v>0</v>
      </c>
      <c r="F32">
        <f>'[12]Report_-_11-01-16_07-21-53230 1'!G50</f>
        <v>0</v>
      </c>
      <c r="G32">
        <f>'[12]Report_-_11-01-16_07-21-53230 1'!H50</f>
        <v>0</v>
      </c>
      <c r="H32">
        <f>'[12]Report_-_11-01-16_07-21-53230 1'!I50</f>
        <v>0</v>
      </c>
      <c r="I32">
        <f>'[12]Report_-_11-01-16_07-21-53230 1'!J50</f>
        <v>825541</v>
      </c>
      <c r="J32">
        <f>'[12]Report_-_11-01-16_07-21-53230 1'!K50</f>
        <v>121583</v>
      </c>
      <c r="K32">
        <f>'[12]Report_-_11-01-16_07-21-53230 1'!L50</f>
        <v>0</v>
      </c>
      <c r="L32" s="116">
        <f t="shared" si="0"/>
        <v>947124</v>
      </c>
    </row>
    <row r="33" spans="1:12" ht="15">
      <c r="A33" t="s">
        <v>112</v>
      </c>
      <c r="B33">
        <f>'[12]Report_-_11-01-16_07-21-53230 1'!C52+'[12]Report_-_11-01-16_07-21-53230 1'!C58</f>
        <v>0</v>
      </c>
      <c r="C33">
        <f>'[12]Report_-_11-01-16_07-21-53230 1'!D52+'[12]Report_-_11-01-16_07-21-53230 1'!D58</f>
        <v>0</v>
      </c>
      <c r="D33">
        <f>'[12]Report_-_11-01-16_07-21-53230 1'!E52+'[12]Report_-_11-01-16_07-21-53230 1'!E58</f>
        <v>0</v>
      </c>
      <c r="E33">
        <f>'[12]Report_-_11-01-16_07-21-53230 1'!F52+'[12]Report_-_11-01-16_07-21-53230 1'!F58</f>
        <v>658858</v>
      </c>
      <c r="F33">
        <f>'[12]Report_-_11-01-16_07-21-53230 1'!G52+'[12]Report_-_11-01-16_07-21-53230 1'!G58</f>
        <v>57000</v>
      </c>
      <c r="G33">
        <f>'[12]Report_-_11-01-16_07-21-53230 1'!H52+'[12]Report_-_11-01-16_07-21-53230 1'!H58</f>
        <v>0</v>
      </c>
      <c r="H33">
        <f>'[12]Report_-_11-01-16_07-21-53230 1'!I52+'[12]Report_-_11-01-16_07-21-53230 1'!I58</f>
        <v>0</v>
      </c>
      <c r="I33">
        <f>'[12]Report_-_11-01-16_07-21-53230 1'!J52+'[12]Report_-_11-01-16_07-21-53230 1'!J58</f>
        <v>0</v>
      </c>
      <c r="J33">
        <f>'[12]Report_-_11-01-16_07-21-53230 1'!K52+'[12]Report_-_11-01-16_07-21-53230 1'!K58</f>
        <v>0</v>
      </c>
      <c r="K33">
        <f>'[12]Report_-_11-01-16_07-21-53230 1'!L52+'[12]Report_-_11-01-16_07-21-53230 1'!L58</f>
        <v>0</v>
      </c>
      <c r="L33" s="116">
        <f t="shared" si="0"/>
        <v>715858</v>
      </c>
    </row>
    <row r="34" spans="1:12" ht="15">
      <c r="A34" t="s">
        <v>116</v>
      </c>
      <c r="B34">
        <f>'[12]Report_-_11-01-16_07-21-53230 1'!C59</f>
        <v>0</v>
      </c>
      <c r="C34">
        <f>'[12]Report_-_11-01-16_07-21-53230 1'!D59</f>
        <v>293000</v>
      </c>
      <c r="D34">
        <f>'[12]Report_-_11-01-16_07-21-53230 1'!E59</f>
        <v>0</v>
      </c>
      <c r="E34">
        <f>'[12]Report_-_11-01-16_07-21-53230 1'!F59</f>
        <v>0</v>
      </c>
      <c r="F34">
        <f>'[12]Report_-_11-01-16_07-21-53230 1'!G59</f>
        <v>0</v>
      </c>
      <c r="G34">
        <f>'[12]Report_-_11-01-16_07-21-53230 1'!H59</f>
        <v>0</v>
      </c>
      <c r="H34">
        <f>'[12]Report_-_11-01-16_07-21-53230 1'!I59</f>
        <v>0</v>
      </c>
      <c r="I34">
        <f>'[12]Report_-_11-01-16_07-21-53230 1'!J59</f>
        <v>0</v>
      </c>
      <c r="J34">
        <f>'[12]Report_-_11-01-16_07-21-53230 1'!K59</f>
        <v>0</v>
      </c>
      <c r="K34">
        <f>'[12]Report_-_11-01-16_07-21-53230 1'!L59</f>
        <v>0</v>
      </c>
      <c r="L34" s="116">
        <f t="shared" si="0"/>
        <v>293000</v>
      </c>
    </row>
    <row r="35" spans="1:12" ht="15">
      <c r="A35" t="s">
        <v>231</v>
      </c>
      <c r="B35">
        <f>'[12]Report_-_11-01-16_07-21-53230 1'!C63</f>
        <v>0</v>
      </c>
      <c r="C35">
        <f>'[12]Report_-_11-01-16_07-21-53230 1'!D63</f>
        <v>0</v>
      </c>
      <c r="D35">
        <f>'[12]Report_-_11-01-16_07-21-53230 1'!E63</f>
        <v>0</v>
      </c>
      <c r="E35">
        <f>'[12]Report_-_11-01-16_07-21-53230 1'!F63</f>
        <v>0</v>
      </c>
      <c r="F35">
        <f>'[12]Report_-_11-01-16_07-21-53230 1'!G63</f>
        <v>0</v>
      </c>
      <c r="G35">
        <f>'[12]Report_-_11-01-16_07-21-53230 1'!H63</f>
        <v>0</v>
      </c>
      <c r="H35">
        <f>'[12]Report_-_11-01-16_07-21-53230 1'!I63</f>
        <v>20000</v>
      </c>
      <c r="I35">
        <f>'[12]Report_-_11-01-16_07-21-53230 1'!J63</f>
        <v>0</v>
      </c>
      <c r="J35">
        <f>'[12]Report_-_11-01-16_07-21-53230 1'!K63</f>
        <v>92800</v>
      </c>
      <c r="K35">
        <f>'[12]Report_-_11-01-16_07-21-53230 1'!L63</f>
        <v>0</v>
      </c>
      <c r="L35" s="116">
        <f t="shared" si="0"/>
        <v>112800</v>
      </c>
    </row>
    <row r="36" spans="1:12" ht="15">
      <c r="A36" t="s">
        <v>118</v>
      </c>
      <c r="B36">
        <f>'[12]Report_-_11-01-16_07-21-53230 1'!C65</f>
        <v>0</v>
      </c>
      <c r="C36">
        <f>'[12]Report_-_11-01-16_07-21-53230 1'!D65</f>
        <v>10750</v>
      </c>
      <c r="D36">
        <f>'[12]Report_-_11-01-16_07-21-53230 1'!E65</f>
        <v>0</v>
      </c>
      <c r="E36">
        <f>'[12]Report_-_11-01-16_07-21-53230 1'!F65</f>
        <v>0</v>
      </c>
      <c r="F36">
        <f>'[12]Report_-_11-01-16_07-21-53230 1'!G65</f>
        <v>0</v>
      </c>
      <c r="G36">
        <f>'[12]Report_-_11-01-16_07-21-53230 1'!H65</f>
        <v>0</v>
      </c>
      <c r="H36">
        <f>'[12]Report_-_11-01-16_07-21-53230 1'!I65</f>
        <v>0</v>
      </c>
      <c r="I36">
        <f>'[12]Report_-_11-01-16_07-21-53230 1'!J65</f>
        <v>0</v>
      </c>
      <c r="J36">
        <f>'[12]Report_-_11-01-16_07-21-53230 1'!K65</f>
        <v>0</v>
      </c>
      <c r="K36">
        <f>'[12]Report_-_11-01-16_07-21-53230 1'!L65</f>
        <v>0</v>
      </c>
      <c r="L36" s="116">
        <f t="shared" si="0"/>
        <v>10750</v>
      </c>
    </row>
    <row r="37" spans="1:12" ht="15">
      <c r="A37" t="s">
        <v>234</v>
      </c>
      <c r="B37">
        <f>'[12]Report_-_11-01-16_07-21-53230 1'!C66</f>
        <v>0</v>
      </c>
      <c r="C37">
        <f>'[12]Report_-_11-01-16_07-21-53230 1'!D66</f>
        <v>0</v>
      </c>
      <c r="D37">
        <f>'[12]Report_-_11-01-16_07-21-53230 1'!E66</f>
        <v>9000</v>
      </c>
      <c r="E37">
        <f>'[12]Report_-_11-01-16_07-21-53230 1'!F66</f>
        <v>0</v>
      </c>
      <c r="F37">
        <f>'[12]Report_-_11-01-16_07-21-53230 1'!G66</f>
        <v>0</v>
      </c>
      <c r="G37">
        <f>'[12]Report_-_11-01-16_07-21-53230 1'!H66</f>
        <v>0</v>
      </c>
      <c r="H37">
        <f>'[12]Report_-_11-01-16_07-21-53230 1'!I66</f>
        <v>0</v>
      </c>
      <c r="I37">
        <f>'[12]Report_-_11-01-16_07-21-53230 1'!J66</f>
        <v>0</v>
      </c>
      <c r="J37">
        <f>'[12]Report_-_11-01-16_07-21-53230 1'!K66</f>
        <v>0</v>
      </c>
      <c r="K37">
        <f>'[12]Report_-_11-01-16_07-21-53230 1'!L66</f>
        <v>0</v>
      </c>
      <c r="L37" s="116">
        <f t="shared" si="0"/>
        <v>9000</v>
      </c>
    </row>
    <row r="38" spans="1:12" ht="15">
      <c r="A38" t="s">
        <v>443</v>
      </c>
      <c r="B38" s="84">
        <f>'[12]Report_-_11-01-16_07-21-53230 1'!C70-SUM('[12]Summary'!B3:B37)</f>
        <v>620167</v>
      </c>
      <c r="C38" s="84">
        <f>'[12]Report_-_11-01-16_07-21-53230 1'!D70-SUM('[12]Summary'!C3:C37)</f>
        <v>652234</v>
      </c>
      <c r="D38" s="84">
        <f>'[12]Report_-_11-01-16_07-21-53230 1'!E70-SUM('[12]Summary'!D3:D37)</f>
        <v>2545600</v>
      </c>
      <c r="E38" s="84">
        <f>'[12]Report_-_11-01-16_07-21-53230 1'!F70-SUM('[12]Summary'!E3:E37)</f>
        <v>752814</v>
      </c>
      <c r="F38" s="84">
        <f>'[12]Report_-_11-01-16_07-21-53230 1'!G70-SUM('[12]Summary'!F3:F37)</f>
        <v>1538941</v>
      </c>
      <c r="G38" s="84">
        <f>'[12]Report_-_11-01-16_07-21-53230 1'!H70-SUM('[12]Summary'!G3:G37)</f>
        <v>40626</v>
      </c>
      <c r="H38" s="84">
        <f>'[12]Report_-_11-01-16_07-21-53230 1'!I70-SUM('[12]Summary'!H3:H37)</f>
        <v>-40626</v>
      </c>
      <c r="I38" s="84">
        <f>'[12]Report_-_11-01-16_07-21-53230 1'!J70-SUM('[12]Summary'!I3:I37)</f>
        <v>0</v>
      </c>
      <c r="J38" s="84">
        <f>'[12]Report_-_11-01-16_07-21-53230 1'!K70-SUM('[12]Summary'!J3:J37)</f>
        <v>-6473</v>
      </c>
      <c r="K38" s="84">
        <f>'[12]Report_-_11-01-16_07-21-53230 1'!L70-SUM('[12]Summary'!K3:K37)</f>
        <v>0</v>
      </c>
      <c r="L38" s="116">
        <f t="shared" si="0"/>
        <v>6103283</v>
      </c>
    </row>
    <row r="39" ht="15">
      <c r="L39" s="116">
        <f t="shared" si="0"/>
        <v>0</v>
      </c>
    </row>
    <row r="40" spans="1:12" ht="15">
      <c r="A40" t="s">
        <v>24</v>
      </c>
      <c r="B40" s="84">
        <f>SUM(B3:B38)</f>
        <v>46473256</v>
      </c>
      <c r="C40" s="84">
        <f aca="true" t="shared" si="1" ref="C40:K40">SUM(C3:C38)</f>
        <v>223876911</v>
      </c>
      <c r="D40" s="84">
        <f t="shared" si="1"/>
        <v>822707763</v>
      </c>
      <c r="E40" s="84">
        <f t="shared" si="1"/>
        <v>975489533</v>
      </c>
      <c r="F40" s="84">
        <f t="shared" si="1"/>
        <v>288824180</v>
      </c>
      <c r="G40" s="84">
        <f t="shared" si="1"/>
        <v>54567842</v>
      </c>
      <c r="H40" s="84">
        <f t="shared" si="1"/>
        <v>160687534</v>
      </c>
      <c r="I40" s="84">
        <f t="shared" si="1"/>
        <v>82478885</v>
      </c>
      <c r="J40" s="84">
        <f t="shared" si="1"/>
        <v>445213844</v>
      </c>
      <c r="K40" s="84">
        <f t="shared" si="1"/>
        <v>8225140</v>
      </c>
      <c r="L40" s="116">
        <f t="shared" si="0"/>
        <v>3108544888</v>
      </c>
    </row>
    <row r="41" ht="15">
      <c r="L41" s="116">
        <f t="shared" si="0"/>
        <v>0</v>
      </c>
    </row>
    <row r="42" spans="2:12" ht="15">
      <c r="B42" s="43">
        <v>2001</v>
      </c>
      <c r="C42" s="43">
        <v>2002</v>
      </c>
      <c r="D42" s="43">
        <v>2003</v>
      </c>
      <c r="E42" s="43">
        <v>2004</v>
      </c>
      <c r="F42" s="43">
        <v>2005</v>
      </c>
      <c r="G42" s="43">
        <v>2006</v>
      </c>
      <c r="H42" s="43">
        <v>2007</v>
      </c>
      <c r="I42" s="43">
        <v>2008</v>
      </c>
      <c r="J42" s="43">
        <v>2009</v>
      </c>
      <c r="K42" s="43">
        <v>2010</v>
      </c>
      <c r="L42" s="116"/>
    </row>
    <row r="43" spans="1:12" ht="15">
      <c r="A43" t="s">
        <v>24</v>
      </c>
      <c r="B43" s="81">
        <f>(B40*75%)/1000000</f>
        <v>34.854942</v>
      </c>
      <c r="C43" s="81">
        <f aca="true" t="shared" si="2" ref="C43:K43">((B40*25%)+(C40*75%))/1000000</f>
        <v>179.52599725</v>
      </c>
      <c r="D43" s="81">
        <f t="shared" si="2"/>
        <v>673.00005</v>
      </c>
      <c r="E43" s="81">
        <f t="shared" si="2"/>
        <v>937.2940905</v>
      </c>
      <c r="F43" s="81">
        <f t="shared" si="2"/>
        <v>460.49051825</v>
      </c>
      <c r="G43" s="81">
        <f t="shared" si="2"/>
        <v>113.1319265</v>
      </c>
      <c r="H43" s="81">
        <f t="shared" si="2"/>
        <v>134.157611</v>
      </c>
      <c r="I43" s="81">
        <f t="shared" si="2"/>
        <v>102.03104725</v>
      </c>
      <c r="J43" s="81">
        <f t="shared" si="2"/>
        <v>354.53010425</v>
      </c>
      <c r="K43" s="81">
        <f t="shared" si="2"/>
        <v>117.472316</v>
      </c>
      <c r="L43" s="116">
        <f t="shared" si="0"/>
        <v>3106.4886030000002</v>
      </c>
    </row>
    <row r="44" spans="1:12" ht="15">
      <c r="A44" t="s">
        <v>125</v>
      </c>
      <c r="B44" s="81">
        <f>(B3*75%)/1000000</f>
        <v>0</v>
      </c>
      <c r="C44" s="81">
        <f aca="true" t="shared" si="3" ref="C44:K44">((B3*25%)+(C3*75%))/1000000</f>
        <v>101.56176825</v>
      </c>
      <c r="D44" s="81">
        <f t="shared" si="3"/>
        <v>522.30612275</v>
      </c>
      <c r="E44" s="81">
        <f t="shared" si="3"/>
        <v>753.1340285</v>
      </c>
      <c r="F44" s="81">
        <f t="shared" si="3"/>
        <v>315.28901025</v>
      </c>
      <c r="G44" s="81">
        <f t="shared" si="3"/>
        <v>45.0083825</v>
      </c>
      <c r="H44" s="81">
        <f t="shared" si="3"/>
        <v>48.91473075</v>
      </c>
      <c r="I44" s="81">
        <f t="shared" si="3"/>
        <v>19.07040625</v>
      </c>
      <c r="J44" s="81">
        <f t="shared" si="3"/>
        <v>10.10585375</v>
      </c>
      <c r="K44" s="81">
        <f t="shared" si="3"/>
        <v>2.993405</v>
      </c>
      <c r="L44" s="116">
        <f t="shared" si="0"/>
        <v>1818.3837079999998</v>
      </c>
    </row>
    <row r="45" spans="1:12" ht="15">
      <c r="A45" t="s">
        <v>114</v>
      </c>
      <c r="B45" s="81">
        <f>(B4*75%)/1000000</f>
        <v>23.21582475</v>
      </c>
      <c r="C45" s="81">
        <f aca="true" t="shared" si="4" ref="C45:K45">((B4*25%)+(C4*75%))/1000000</f>
        <v>36.98048575</v>
      </c>
      <c r="D45" s="81">
        <f t="shared" si="4"/>
        <v>28.43226075</v>
      </c>
      <c r="E45" s="81">
        <f t="shared" si="4"/>
        <v>34.41393025</v>
      </c>
      <c r="F45" s="81">
        <f t="shared" si="4"/>
        <v>37.72154675</v>
      </c>
      <c r="G45" s="81">
        <f t="shared" si="4"/>
        <v>9.44211475</v>
      </c>
      <c r="H45" s="81">
        <f t="shared" si="4"/>
        <v>0</v>
      </c>
      <c r="I45" s="81">
        <f t="shared" si="4"/>
        <v>0</v>
      </c>
      <c r="J45" s="81">
        <f t="shared" si="4"/>
        <v>158.406696</v>
      </c>
      <c r="K45" s="81">
        <f t="shared" si="4"/>
        <v>54.3312825</v>
      </c>
      <c r="L45" s="116">
        <f t="shared" si="0"/>
        <v>382.94414149999994</v>
      </c>
    </row>
    <row r="46" spans="1:12" ht="15">
      <c r="A46" t="s">
        <v>110</v>
      </c>
      <c r="B46" s="81">
        <f>(B5*75%)/1000000</f>
        <v>5.25</v>
      </c>
      <c r="C46" s="81">
        <f aca="true" t="shared" si="5" ref="C46:K46">((B5*25%)+(C5*75%))/1000000</f>
        <v>2.44455925</v>
      </c>
      <c r="D46" s="81">
        <f t="shared" si="5"/>
        <v>1.47651975</v>
      </c>
      <c r="E46" s="81">
        <f t="shared" si="5"/>
        <v>4.81</v>
      </c>
      <c r="F46" s="81">
        <f t="shared" si="5"/>
        <v>4.4575</v>
      </c>
      <c r="G46" s="81">
        <f t="shared" si="5"/>
        <v>1.82025</v>
      </c>
      <c r="H46" s="81">
        <f t="shared" si="5"/>
        <v>19.65536</v>
      </c>
      <c r="I46" s="81">
        <f t="shared" si="5"/>
        <v>12.6110225</v>
      </c>
      <c r="J46" s="81">
        <f t="shared" si="5"/>
        <v>147.937222</v>
      </c>
      <c r="K46" s="81">
        <f t="shared" si="5"/>
        <v>48.6290015</v>
      </c>
      <c r="L46" s="116">
        <f t="shared" si="0"/>
        <v>249.091435</v>
      </c>
    </row>
    <row r="47" spans="1:12" ht="15">
      <c r="A47" t="s">
        <v>304</v>
      </c>
      <c r="B47" s="81">
        <f>(B6*75%)/1000000</f>
        <v>0</v>
      </c>
      <c r="C47" s="81">
        <f aca="true" t="shared" si="6" ref="C47:K47">((B6*25%)+(C6*75%))/1000000</f>
        <v>0</v>
      </c>
      <c r="D47" s="81">
        <f t="shared" si="6"/>
        <v>55.5</v>
      </c>
      <c r="E47" s="81">
        <f t="shared" si="6"/>
        <v>44.75</v>
      </c>
      <c r="F47" s="81">
        <f t="shared" si="6"/>
        <v>8.75</v>
      </c>
      <c r="G47" s="81">
        <f t="shared" si="6"/>
        <v>0</v>
      </c>
      <c r="H47" s="81">
        <f t="shared" si="6"/>
        <v>0</v>
      </c>
      <c r="I47" s="81">
        <f t="shared" si="6"/>
        <v>0</v>
      </c>
      <c r="J47" s="81">
        <f t="shared" si="6"/>
        <v>0</v>
      </c>
      <c r="K47" s="81">
        <f t="shared" si="6"/>
        <v>0</v>
      </c>
      <c r="L47" s="116">
        <f>SUM(B47:K47)</f>
        <v>109</v>
      </c>
    </row>
    <row r="48" spans="1:12" ht="15">
      <c r="A48" t="s">
        <v>439</v>
      </c>
      <c r="B48" s="81">
        <f>(B7*75%)/1000000</f>
        <v>0.56025</v>
      </c>
      <c r="C48" s="81">
        <f aca="true" t="shared" si="7" ref="C48:K48">((B7*25%)+(C7*75%))/1000000</f>
        <v>8.82462525</v>
      </c>
      <c r="D48" s="81">
        <f t="shared" si="7"/>
        <v>10.66151825</v>
      </c>
      <c r="E48" s="81">
        <f t="shared" si="7"/>
        <v>28.1410645</v>
      </c>
      <c r="F48" s="81">
        <f t="shared" si="7"/>
        <v>11.075896</v>
      </c>
      <c r="G48" s="81">
        <f t="shared" si="7"/>
        <v>6.617911</v>
      </c>
      <c r="H48" s="81">
        <f t="shared" si="7"/>
        <v>14.6869695</v>
      </c>
      <c r="I48" s="81">
        <f t="shared" si="7"/>
        <v>4.2551565</v>
      </c>
      <c r="J48" s="81">
        <f t="shared" si="7"/>
        <v>0</v>
      </c>
      <c r="K48" s="81">
        <f t="shared" si="7"/>
        <v>0</v>
      </c>
      <c r="L48" s="116">
        <f t="shared" si="0"/>
        <v>84.823391</v>
      </c>
    </row>
    <row r="49" spans="1:12" ht="15">
      <c r="A49" t="s">
        <v>440</v>
      </c>
      <c r="B49" s="81">
        <f>(B13*75%)/1000000</f>
        <v>0</v>
      </c>
      <c r="C49" s="81">
        <f aca="true" t="shared" si="8" ref="C49:K49">((B13*25%)+(C13*75%))/1000000</f>
        <v>0</v>
      </c>
      <c r="D49" s="81">
        <f t="shared" si="8"/>
        <v>0</v>
      </c>
      <c r="E49" s="81">
        <f t="shared" si="8"/>
        <v>7.875</v>
      </c>
      <c r="F49" s="81">
        <f t="shared" si="8"/>
        <v>10.875</v>
      </c>
      <c r="G49" s="81">
        <f t="shared" si="8"/>
        <v>2.75</v>
      </c>
      <c r="H49" s="81">
        <f t="shared" si="8"/>
        <v>1.515369</v>
      </c>
      <c r="I49" s="81">
        <f t="shared" si="8"/>
        <v>0.505123</v>
      </c>
      <c r="J49" s="81">
        <f t="shared" si="8"/>
        <v>0</v>
      </c>
      <c r="K49" s="81">
        <f t="shared" si="8"/>
        <v>0</v>
      </c>
      <c r="L49" s="116">
        <f t="shared" si="0"/>
        <v>23.520492</v>
      </c>
    </row>
    <row r="50" spans="1:12" ht="15">
      <c r="A50" t="s">
        <v>444</v>
      </c>
      <c r="B50" s="84">
        <f>B43-SUM(B44:B49)</f>
        <v>5.828867250000002</v>
      </c>
      <c r="C50" s="84">
        <f aca="true" t="shared" si="9" ref="C50:K50">C43-SUM(C44:C49)</f>
        <v>29.71455874999998</v>
      </c>
      <c r="D50" s="84">
        <f t="shared" si="9"/>
        <v>54.62362850000011</v>
      </c>
      <c r="E50" s="84">
        <f t="shared" si="9"/>
        <v>64.1700672500001</v>
      </c>
      <c r="F50" s="84">
        <f t="shared" si="9"/>
        <v>72.32156524999999</v>
      </c>
      <c r="G50" s="84">
        <f t="shared" si="9"/>
        <v>47.49326825</v>
      </c>
      <c r="H50" s="84">
        <f t="shared" si="9"/>
        <v>49.38518175</v>
      </c>
      <c r="I50" s="84">
        <f t="shared" si="9"/>
        <v>65.589339</v>
      </c>
      <c r="J50" s="84">
        <f t="shared" si="9"/>
        <v>38.080332500000054</v>
      </c>
      <c r="K50" s="84">
        <f t="shared" si="9"/>
        <v>11.51862700000001</v>
      </c>
      <c r="L50" s="116">
        <f t="shared" si="0"/>
        <v>438.72543550000023</v>
      </c>
    </row>
    <row r="51" ht="15">
      <c r="L51" s="116">
        <f t="shared" si="0"/>
        <v>0</v>
      </c>
    </row>
    <row r="52" spans="1:12" ht="15">
      <c r="A52" s="51"/>
      <c r="B52" s="51" t="s">
        <v>26</v>
      </c>
      <c r="L52" s="116">
        <f t="shared" si="0"/>
        <v>0</v>
      </c>
    </row>
    <row r="53" spans="1:12" ht="15">
      <c r="A53" s="51" t="s">
        <v>24</v>
      </c>
      <c r="B53" s="294">
        <f>SUM(C43:J43)</f>
        <v>2954.1613450000004</v>
      </c>
      <c r="L53" s="116">
        <f t="shared" si="0"/>
        <v>2954.1613450000004</v>
      </c>
    </row>
    <row r="54" spans="1:12" ht="15">
      <c r="A54" s="51" t="s">
        <v>125</v>
      </c>
      <c r="B54" s="294">
        <f aca="true" t="shared" si="10" ref="B54:B60">SUM(C44:J44)</f>
        <v>1815.390303</v>
      </c>
      <c r="L54" s="116">
        <f t="shared" si="0"/>
        <v>1815.390303</v>
      </c>
    </row>
    <row r="55" spans="1:12" ht="15">
      <c r="A55" s="51" t="s">
        <v>114</v>
      </c>
      <c r="B55" s="294">
        <f t="shared" si="10"/>
        <v>305.39703425000005</v>
      </c>
      <c r="L55" s="116">
        <f t="shared" si="0"/>
        <v>305.39703425000005</v>
      </c>
    </row>
    <row r="56" spans="1:12" ht="15">
      <c r="A56" s="51" t="s">
        <v>110</v>
      </c>
      <c r="B56" s="294">
        <f t="shared" si="10"/>
        <v>195.21243349999997</v>
      </c>
      <c r="L56" s="116">
        <f t="shared" si="0"/>
        <v>195.21243349999997</v>
      </c>
    </row>
    <row r="57" spans="1:12" ht="15">
      <c r="A57" s="51" t="s">
        <v>304</v>
      </c>
      <c r="B57" s="294">
        <f t="shared" si="10"/>
        <v>109</v>
      </c>
      <c r="L57" s="116">
        <f t="shared" si="0"/>
        <v>109</v>
      </c>
    </row>
    <row r="58" spans="1:12" ht="15">
      <c r="A58" s="51" t="s">
        <v>439</v>
      </c>
      <c r="B58" s="294">
        <f t="shared" si="10"/>
        <v>84.263141</v>
      </c>
      <c r="L58" s="116">
        <f t="shared" si="0"/>
        <v>84.263141</v>
      </c>
    </row>
    <row r="59" spans="1:12" ht="15">
      <c r="A59" s="51" t="s">
        <v>440</v>
      </c>
      <c r="B59" s="294">
        <f t="shared" si="10"/>
        <v>23.520492</v>
      </c>
      <c r="L59" s="116">
        <f t="shared" si="0"/>
        <v>23.520492</v>
      </c>
    </row>
    <row r="60" spans="1:12" ht="15">
      <c r="A60" s="51" t="s">
        <v>444</v>
      </c>
      <c r="B60" s="294">
        <f t="shared" si="10"/>
        <v>421.3779412500003</v>
      </c>
      <c r="L60" s="116">
        <f t="shared" si="0"/>
        <v>421.3779412500003</v>
      </c>
    </row>
    <row r="61" ht="15">
      <c r="L61" s="116">
        <f t="shared" si="0"/>
        <v>0</v>
      </c>
    </row>
    <row r="62" ht="15">
      <c r="L62" s="116">
        <f t="shared" si="0"/>
        <v>0</v>
      </c>
    </row>
    <row r="63" ht="15">
      <c r="L63" s="116">
        <f t="shared" si="0"/>
        <v>0</v>
      </c>
    </row>
    <row r="64" ht="15">
      <c r="L64" s="116">
        <f t="shared" si="0"/>
        <v>0</v>
      </c>
    </row>
    <row r="65" ht="15">
      <c r="L65" s="116">
        <f t="shared" si="0"/>
        <v>0</v>
      </c>
    </row>
    <row r="66" ht="15">
      <c r="L66" s="116">
        <f t="shared" si="0"/>
        <v>0</v>
      </c>
    </row>
    <row r="67" ht="15">
      <c r="L67" s="116">
        <f t="shared" si="0"/>
        <v>0</v>
      </c>
    </row>
    <row r="68" ht="15">
      <c r="L68" s="116">
        <f aca="true" t="shared" si="11" ref="L68:L78">SUM(B68:K68)</f>
        <v>0</v>
      </c>
    </row>
    <row r="69" spans="4:12" ht="15">
      <c r="D69" s="288" t="s">
        <v>537</v>
      </c>
      <c r="L69" s="116">
        <f t="shared" si="11"/>
        <v>0</v>
      </c>
    </row>
    <row r="70" spans="4:12" ht="15">
      <c r="D70" s="288" t="s">
        <v>474</v>
      </c>
      <c r="L70" s="116">
        <f t="shared" si="11"/>
        <v>0</v>
      </c>
    </row>
    <row r="71" ht="15">
      <c r="L71" s="116">
        <f t="shared" si="11"/>
        <v>0</v>
      </c>
    </row>
    <row r="72" ht="15">
      <c r="L72" s="116">
        <f t="shared" si="11"/>
        <v>0</v>
      </c>
    </row>
    <row r="73" ht="15">
      <c r="L73" s="116">
        <f t="shared" si="11"/>
        <v>0</v>
      </c>
    </row>
    <row r="74" ht="15">
      <c r="L74" s="116">
        <f t="shared" si="11"/>
        <v>0</v>
      </c>
    </row>
    <row r="75" ht="15">
      <c r="L75" s="116">
        <f t="shared" si="11"/>
        <v>0</v>
      </c>
    </row>
    <row r="76" ht="15">
      <c r="L76" s="116">
        <f t="shared" si="11"/>
        <v>0</v>
      </c>
    </row>
    <row r="77" ht="15">
      <c r="L77" s="116">
        <f t="shared" si="11"/>
        <v>0</v>
      </c>
    </row>
    <row r="78" ht="15">
      <c r="L78" s="116">
        <f t="shared" si="11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B3" sqref="B3:F27"/>
    </sheetView>
  </sheetViews>
  <sheetFormatPr defaultColWidth="9.140625" defaultRowHeight="15"/>
  <cols>
    <col min="2" max="2" width="20.7109375" style="0" customWidth="1"/>
    <col min="3" max="3" width="11.8515625" style="0" customWidth="1"/>
    <col min="4" max="4" width="10.421875" style="0" customWidth="1"/>
    <col min="5" max="5" width="9.8515625" style="0" customWidth="1"/>
    <col min="7" max="7" width="1.28515625" style="0" customWidth="1"/>
  </cols>
  <sheetData>
    <row r="1" ht="15">
      <c r="B1" s="288" t="s">
        <v>458</v>
      </c>
    </row>
    <row r="2" ht="15">
      <c r="B2" s="288" t="s">
        <v>469</v>
      </c>
    </row>
    <row r="3" spans="2:6" ht="75">
      <c r="B3" s="185"/>
      <c r="C3" s="117" t="s">
        <v>311</v>
      </c>
      <c r="D3" s="117" t="s">
        <v>312</v>
      </c>
      <c r="E3" s="117" t="s">
        <v>369</v>
      </c>
      <c r="F3" s="117" t="s">
        <v>492</v>
      </c>
    </row>
    <row r="4" spans="2:6" ht="15">
      <c r="B4" s="185"/>
      <c r="C4" s="182" t="s">
        <v>446</v>
      </c>
      <c r="D4" s="182" t="s">
        <v>446</v>
      </c>
      <c r="E4" s="182" t="s">
        <v>446</v>
      </c>
      <c r="F4" s="182"/>
    </row>
    <row r="5" spans="2:6" ht="15">
      <c r="B5" s="185" t="s">
        <v>125</v>
      </c>
      <c r="C5" s="180">
        <v>38</v>
      </c>
      <c r="D5" s="180">
        <v>28.366</v>
      </c>
      <c r="E5" s="180">
        <f>(SUM('[3]ODA-excl-debt-current'!$AS$37:$AZ$37))/1000</f>
        <v>10.92607</v>
      </c>
      <c r="F5" s="181">
        <f aca="true" t="shared" si="0" ref="F5:F24">E5/C5</f>
        <v>0.28752815789473685</v>
      </c>
    </row>
    <row r="6" spans="2:6" ht="15">
      <c r="B6" s="185" t="s">
        <v>233</v>
      </c>
      <c r="C6" s="180">
        <v>2.037</v>
      </c>
      <c r="D6" s="180">
        <v>1.973</v>
      </c>
      <c r="E6" s="180">
        <f>(SUM('[3]ODA-excl-debt-current'!$AS$38:$AZ$38))/1000</f>
        <v>2.0934</v>
      </c>
      <c r="F6" s="181">
        <f t="shared" si="0"/>
        <v>1.0276877761413843</v>
      </c>
    </row>
    <row r="7" spans="2:6" ht="15">
      <c r="B7" s="185" t="s">
        <v>124</v>
      </c>
      <c r="C7" s="180">
        <v>2.897</v>
      </c>
      <c r="D7" s="180">
        <v>1.81</v>
      </c>
      <c r="E7" s="180">
        <f>(SUM('[3]ODA-excl-debt-current'!$AS$36:$AZ$36))/1000</f>
        <v>1.8352399999999998</v>
      </c>
      <c r="F7" s="181">
        <f t="shared" si="0"/>
        <v>0.6334967207455988</v>
      </c>
    </row>
    <row r="8" spans="2:6" ht="15">
      <c r="B8" s="185" t="s">
        <v>110</v>
      </c>
      <c r="C8" s="180">
        <v>1.188</v>
      </c>
      <c r="D8" s="180">
        <v>1.044</v>
      </c>
      <c r="E8" s="180">
        <f>(SUM('[3]ODA-excl-debt-current'!$AS$22:$AZ$22))/1000</f>
        <v>1.283</v>
      </c>
      <c r="F8" s="181">
        <f t="shared" si="0"/>
        <v>1.07996632996633</v>
      </c>
    </row>
    <row r="9" spans="2:6" ht="15">
      <c r="B9" s="185" t="s">
        <v>106</v>
      </c>
      <c r="C9" s="180">
        <v>1.679</v>
      </c>
      <c r="D9" s="180">
        <v>1.206</v>
      </c>
      <c r="E9" s="180">
        <f>(SUM('[3]ODA-excl-debt-current'!$AS$18:$AZ$18))/1000</f>
        <v>1.18075</v>
      </c>
      <c r="F9" s="181">
        <f t="shared" si="0"/>
        <v>0.703245979749851</v>
      </c>
    </row>
    <row r="10" spans="2:6" ht="15">
      <c r="B10" s="185" t="s">
        <v>114</v>
      </c>
      <c r="C10" s="180">
        <v>1.9</v>
      </c>
      <c r="D10" s="180">
        <v>1.378</v>
      </c>
      <c r="E10" s="180">
        <f>(SUM('[3]ODA-excl-debt-current'!$AS$26:$AZ$26))/1000</f>
        <v>0.99669</v>
      </c>
      <c r="F10" s="181">
        <f t="shared" si="0"/>
        <v>0.5245736842105263</v>
      </c>
    </row>
    <row r="11" spans="2:6" ht="15">
      <c r="B11" s="185" t="s">
        <v>117</v>
      </c>
      <c r="C11" s="180">
        <v>0.753</v>
      </c>
      <c r="D11" s="180">
        <v>0.902</v>
      </c>
      <c r="E11" s="180">
        <f>(SUM('[3]ODA-excl-debt-current'!$AS$29:$AZ$29))/1000</f>
        <v>0.7711099999999999</v>
      </c>
      <c r="F11" s="181">
        <f t="shared" si="0"/>
        <v>1.0240504648074367</v>
      </c>
    </row>
    <row r="12" spans="2:6" ht="15">
      <c r="B12" s="185" t="s">
        <v>119</v>
      </c>
      <c r="C12" s="180">
        <v>0.938</v>
      </c>
      <c r="D12" s="180">
        <v>0.598</v>
      </c>
      <c r="E12" s="180">
        <f>(SUM('[3]ODA-excl-debt-current'!$AS$31:$AZ$31))/1000</f>
        <v>0.6664000000000001</v>
      </c>
      <c r="F12" s="181">
        <f t="shared" si="0"/>
        <v>0.71044776119403</v>
      </c>
    </row>
    <row r="13" spans="2:6" ht="15">
      <c r="B13" s="185" t="s">
        <v>351</v>
      </c>
      <c r="C13" s="180">
        <v>1.2</v>
      </c>
      <c r="D13" s="180">
        <v>1.236</v>
      </c>
      <c r="E13" s="180">
        <f>('[4]5.Aid-non-DAC'!$N$8)/1000</f>
        <v>0.43374772425</v>
      </c>
      <c r="F13" s="181">
        <f t="shared" si="0"/>
        <v>0.361456436875</v>
      </c>
    </row>
    <row r="14" spans="2:6" ht="15">
      <c r="B14" s="185" t="s">
        <v>122</v>
      </c>
      <c r="C14" s="180">
        <v>0.289</v>
      </c>
      <c r="D14" s="180">
        <v>0.518</v>
      </c>
      <c r="E14" s="180">
        <f>(SUM('[3]ODA-excl-debt-current'!$AS$34:$AZ$34))/1000</f>
        <v>0.42583</v>
      </c>
      <c r="F14" s="181">
        <f t="shared" si="0"/>
        <v>1.4734602076124568</v>
      </c>
    </row>
    <row r="15" spans="2:6" ht="15">
      <c r="B15" s="185" t="s">
        <v>113</v>
      </c>
      <c r="C15" s="180">
        <v>0.515</v>
      </c>
      <c r="D15" s="180">
        <v>0.424</v>
      </c>
      <c r="E15" s="180">
        <f>(SUM('[3]ODA-excl-debt-current'!$AS$25:$AZ$25))/1000</f>
        <v>0.40986</v>
      </c>
      <c r="F15" s="181">
        <f t="shared" si="0"/>
        <v>0.7958446601941748</v>
      </c>
    </row>
    <row r="16" spans="2:6" ht="15">
      <c r="B16" s="185" t="s">
        <v>33</v>
      </c>
      <c r="C16" s="180">
        <v>0.19</v>
      </c>
      <c r="D16" s="180">
        <v>0.165</v>
      </c>
      <c r="E16" s="180">
        <f>(SUM('[3]ODA-excl-debt-current'!$AS$48:$AZ$48))/1000</f>
        <v>0.40606</v>
      </c>
      <c r="F16" s="181">
        <f t="shared" si="0"/>
        <v>2.137157894736842</v>
      </c>
    </row>
    <row r="17" spans="2:6" ht="15">
      <c r="B17" s="185" t="s">
        <v>103</v>
      </c>
      <c r="C17" s="180">
        <v>0.369</v>
      </c>
      <c r="D17" s="180">
        <v>0.202</v>
      </c>
      <c r="E17" s="180">
        <f>(SUM('[3]ODA-excl-debt-current'!$AS$15:$AZ$15))/1000</f>
        <v>0.36460000000000004</v>
      </c>
      <c r="F17" s="181">
        <f t="shared" si="0"/>
        <v>0.9880758807588077</v>
      </c>
    </row>
    <row r="18" spans="2:6" ht="15">
      <c r="B18" s="185" t="s">
        <v>366</v>
      </c>
      <c r="C18" s="180">
        <v>0.864</v>
      </c>
      <c r="D18" s="180">
        <v>0.33</v>
      </c>
      <c r="E18" s="180">
        <f>('[4]5.Aid-non-DAC'!$N$7)/1000</f>
        <v>0.340981</v>
      </c>
      <c r="F18" s="181">
        <f t="shared" si="0"/>
        <v>0.39465393518518516</v>
      </c>
    </row>
    <row r="19" spans="2:6" ht="15">
      <c r="B19" s="185" t="s">
        <v>121</v>
      </c>
      <c r="C19" s="180">
        <v>0.486</v>
      </c>
      <c r="D19" s="180">
        <v>0.1</v>
      </c>
      <c r="E19" s="180">
        <f>(SUM('[3]ODA-excl-debt-current'!$AS$33:$AZ$33))/1000</f>
        <v>0.29083000000000003</v>
      </c>
      <c r="F19" s="181">
        <f t="shared" si="0"/>
        <v>0.5984156378600823</v>
      </c>
    </row>
    <row r="20" spans="2:6" ht="15">
      <c r="B20" s="185" t="s">
        <v>107</v>
      </c>
      <c r="C20" s="180">
        <v>0.673</v>
      </c>
      <c r="D20" s="180">
        <v>0.29</v>
      </c>
      <c r="E20" s="180">
        <f>(SUM('[3]ODA-excl-debt-current'!$AS$19:$AZ$19))/1000</f>
        <v>0.27024000000000004</v>
      </c>
      <c r="F20" s="181">
        <f t="shared" si="0"/>
        <v>0.40154531946508176</v>
      </c>
    </row>
    <row r="21" spans="2:6" ht="15">
      <c r="B21" s="185" t="s">
        <v>109</v>
      </c>
      <c r="C21" s="180">
        <v>0.152</v>
      </c>
      <c r="D21" s="180">
        <v>0.228</v>
      </c>
      <c r="E21" s="180">
        <f>(SUM('[3]ODA-excl-debt-current'!$AS$21:$AZ$21))/1000</f>
        <v>0.16092</v>
      </c>
      <c r="F21" s="181">
        <f t="shared" si="0"/>
        <v>1.058684210526316</v>
      </c>
    </row>
    <row r="22" spans="2:6" ht="15">
      <c r="B22" s="185" t="s">
        <v>108</v>
      </c>
      <c r="C22" s="180">
        <v>0.152</v>
      </c>
      <c r="D22" s="180">
        <v>0.16</v>
      </c>
      <c r="E22" s="180">
        <f>(SUM('[3]ODA-excl-debt-current'!$AS$20:$AZ$20))/1000</f>
        <v>0.14737999999999998</v>
      </c>
      <c r="F22" s="181">
        <f t="shared" si="0"/>
        <v>0.9696052631578946</v>
      </c>
    </row>
    <row r="23" spans="2:6" ht="15">
      <c r="B23" s="185" t="s">
        <v>352</v>
      </c>
      <c r="C23" s="180">
        <v>0.141</v>
      </c>
      <c r="D23" s="180">
        <v>0.147</v>
      </c>
      <c r="E23" s="180">
        <f>('[4]5.Aid-non-DAC'!$N$13)/1000</f>
        <v>0.14675</v>
      </c>
      <c r="F23" s="181">
        <f t="shared" si="0"/>
        <v>1.0407801418439717</v>
      </c>
    </row>
    <row r="24" spans="2:6" ht="15">
      <c r="B24" s="185" t="s">
        <v>123</v>
      </c>
      <c r="C24" s="180">
        <v>0.134</v>
      </c>
      <c r="D24" s="180">
        <v>0.124</v>
      </c>
      <c r="E24" s="180">
        <f>(SUM('[3]ODA-excl-debt-current'!$AS$35:$AZ$35))/1000</f>
        <v>0.13791</v>
      </c>
      <c r="F24" s="181">
        <f t="shared" si="0"/>
        <v>1.029179104477612</v>
      </c>
    </row>
    <row r="25" spans="2:6" ht="15">
      <c r="B25" s="185" t="s">
        <v>371</v>
      </c>
      <c r="C25" s="180">
        <v>5.322</v>
      </c>
      <c r="D25" s="180">
        <v>3.988</v>
      </c>
      <c r="E25" s="180">
        <f>(('[3]2.Aid-all-donors'!$J$4)-E6)</f>
        <v>2.6925999999999997</v>
      </c>
      <c r="F25" s="181">
        <f>E25/C25</f>
        <v>0.5059376174370537</v>
      </c>
    </row>
    <row r="26" spans="2:6" ht="15">
      <c r="B26" s="185" t="s">
        <v>36</v>
      </c>
      <c r="C26" s="180">
        <v>5.893</v>
      </c>
      <c r="D26" s="180">
        <v>3.328</v>
      </c>
      <c r="E26" s="180">
        <f>(E27-SUM(E5:E25))</f>
        <v>0.7241786762324978</v>
      </c>
      <c r="F26" s="181">
        <f>E26/C26</f>
        <v>0.12288794777405358</v>
      </c>
    </row>
    <row r="27" spans="2:6" ht="15">
      <c r="B27" s="210" t="s">
        <v>24</v>
      </c>
      <c r="C27" s="279">
        <v>62.022</v>
      </c>
      <c r="D27" s="279">
        <v>46.079</v>
      </c>
      <c r="E27" s="279">
        <f>('3.Aid'!J5*1000)/1000</f>
        <v>26.704547400482497</v>
      </c>
      <c r="F27" s="211">
        <f>E27/C27</f>
        <v>0.4305657250730789</v>
      </c>
    </row>
    <row r="29" ht="15">
      <c r="B29" s="5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8.7109375" style="0" customWidth="1"/>
    <col min="3" max="3" width="17.57421875" style="0" customWidth="1"/>
  </cols>
  <sheetData>
    <row r="2" ht="15.75" thickBot="1"/>
    <row r="3" spans="2:3" ht="15.75" thickBot="1">
      <c r="B3" s="289" t="s">
        <v>500</v>
      </c>
      <c r="C3" s="290" t="s">
        <v>367</v>
      </c>
    </row>
    <row r="4" spans="2:3" ht="15">
      <c r="B4" s="136" t="s">
        <v>499</v>
      </c>
      <c r="C4" s="311">
        <f>'[13]ANA-TF'!D20</f>
        <v>35.31796922402135</v>
      </c>
    </row>
    <row r="5" spans="2:3" ht="15">
      <c r="B5" s="136" t="s">
        <v>318</v>
      </c>
      <c r="C5" s="311">
        <f>('[14]US-reconstruction-aid'!$B$40)</f>
        <v>15663.93</v>
      </c>
    </row>
    <row r="6" spans="2:3" ht="15">
      <c r="B6" s="136" t="s">
        <v>124</v>
      </c>
      <c r="C6" s="311">
        <f>'[13]UK-non-ODA'!L9*1000</f>
        <v>363.3763365636583</v>
      </c>
    </row>
    <row r="7" spans="2:3" ht="15.75" thickBot="1">
      <c r="B7" s="190" t="s">
        <v>24</v>
      </c>
      <c r="C7" s="312">
        <f>SUM(C4:C6)</f>
        <v>16062.62430578768</v>
      </c>
    </row>
    <row r="10" ht="15">
      <c r="B10" t="s">
        <v>539</v>
      </c>
    </row>
    <row r="11" ht="15">
      <c r="B11" t="s">
        <v>501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6.7109375" style="0" customWidth="1"/>
    <col min="2" max="2" width="9.28125" style="0" bestFit="1" customWidth="1"/>
    <col min="3" max="5" width="9.57421875" style="0" bestFit="1" customWidth="1"/>
    <col min="6" max="6" width="9.7109375" style="0" bestFit="1" customWidth="1"/>
    <col min="7" max="9" width="10.7109375" style="0" bestFit="1" customWidth="1"/>
    <col min="10" max="10" width="11.7109375" style="0" bestFit="1" customWidth="1"/>
    <col min="11" max="11" width="10.57421875" style="0" hidden="1" customWidth="1"/>
    <col min="12" max="12" width="50.7109375" style="0" hidden="1" customWidth="1"/>
    <col min="13" max="13" width="28.421875" style="0" customWidth="1"/>
    <col min="14" max="14" width="79.57421875" style="0" customWidth="1"/>
  </cols>
  <sheetData>
    <row r="1" spans="1:14" ht="15">
      <c r="A1" s="64"/>
      <c r="B1" s="273">
        <v>2001</v>
      </c>
      <c r="C1" s="273">
        <v>2002</v>
      </c>
      <c r="D1" s="273">
        <v>2003</v>
      </c>
      <c r="E1" s="273">
        <v>2004</v>
      </c>
      <c r="F1" s="273">
        <v>2005</v>
      </c>
      <c r="G1" s="273">
        <v>2006</v>
      </c>
      <c r="H1" s="273">
        <v>2007</v>
      </c>
      <c r="I1" s="273">
        <v>2008</v>
      </c>
      <c r="J1" s="273">
        <v>2009</v>
      </c>
      <c r="K1" s="192">
        <v>2010</v>
      </c>
      <c r="L1" s="192" t="s">
        <v>320</v>
      </c>
      <c r="M1" s="192" t="s">
        <v>321</v>
      </c>
      <c r="N1" s="192" t="s">
        <v>322</v>
      </c>
    </row>
    <row r="2" spans="1:14" ht="15">
      <c r="A2" s="274" t="s">
        <v>323</v>
      </c>
      <c r="B2" s="275">
        <f>SUM(B4:B13)-(B6+B9)</f>
        <v>0.4547608433104682</v>
      </c>
      <c r="C2" s="275">
        <f aca="true" t="shared" si="0" ref="C2:K2">SUM(C4:C13)-(C6)</f>
        <v>16.77124539448268</v>
      </c>
      <c r="D2" s="275">
        <f t="shared" si="0"/>
        <v>17.68865488381709</v>
      </c>
      <c r="E2" s="275">
        <f t="shared" si="0"/>
        <v>15.20994975350565</v>
      </c>
      <c r="F2" s="275">
        <f t="shared" si="0"/>
        <v>18.704731037835366</v>
      </c>
      <c r="G2" s="275">
        <f t="shared" si="0"/>
        <v>22.99300449531431</v>
      </c>
      <c r="H2" s="275">
        <f t="shared" si="0"/>
        <v>40.97965709310906</v>
      </c>
      <c r="I2" s="275">
        <f t="shared" si="0"/>
        <v>47.48262072719648</v>
      </c>
      <c r="J2" s="275">
        <f t="shared" si="0"/>
        <v>63.06249026861964</v>
      </c>
      <c r="K2" s="193">
        <f t="shared" si="0"/>
        <v>3.508964035483326</v>
      </c>
      <c r="L2" s="194"/>
      <c r="M2" s="194"/>
      <c r="N2" s="194"/>
    </row>
    <row r="3" spans="1:14" ht="15" hidden="1">
      <c r="A3" s="274" t="s">
        <v>324</v>
      </c>
      <c r="B3" s="64">
        <v>0</v>
      </c>
      <c r="C3" s="275">
        <v>20</v>
      </c>
      <c r="D3" s="275">
        <v>14</v>
      </c>
      <c r="E3" s="275">
        <v>12.4</v>
      </c>
      <c r="F3" s="275">
        <v>17.2</v>
      </c>
      <c r="G3" s="275">
        <v>17.9</v>
      </c>
      <c r="H3" s="275">
        <v>37.2</v>
      </c>
      <c r="I3" s="275">
        <v>40.6</v>
      </c>
      <c r="J3" s="275">
        <v>56.1</v>
      </c>
      <c r="K3" s="49">
        <v>99.5</v>
      </c>
      <c r="L3" s="49"/>
      <c r="M3" s="49" t="s">
        <v>325</v>
      </c>
      <c r="N3" s="49" t="s">
        <v>326</v>
      </c>
    </row>
    <row r="4" spans="1:14" ht="15">
      <c r="A4" s="274" t="s">
        <v>327</v>
      </c>
      <c r="B4" s="64"/>
      <c r="C4" s="275">
        <f>(B3*25%)+(C3*75%)</f>
        <v>15</v>
      </c>
      <c r="D4" s="275">
        <f>(C3*25%)+(D3*75%)</f>
        <v>15.5</v>
      </c>
      <c r="E4" s="275">
        <f>(D3*25%)+(E3*75%)</f>
        <v>12.8</v>
      </c>
      <c r="F4" s="275">
        <f>(E3*25%)+(F3*75%)</f>
        <v>15.999999999999998</v>
      </c>
      <c r="G4" s="275">
        <f>(F3*25%)+(G3*75%)</f>
        <v>17.724999999999998</v>
      </c>
      <c r="H4" s="275">
        <f>(G3*25%)+(H3*75%)</f>
        <v>32.375</v>
      </c>
      <c r="I4" s="275">
        <f>(H3*25%)+(I3*75%)</f>
        <v>39.75</v>
      </c>
      <c r="J4" s="275">
        <f>(I3*25%)+(J3*75%)</f>
        <v>52.225</v>
      </c>
      <c r="K4" s="49"/>
      <c r="L4" s="49"/>
      <c r="M4" s="49"/>
      <c r="N4" s="49"/>
    </row>
    <row r="5" spans="1:14" ht="15">
      <c r="A5" s="274" t="s">
        <v>223</v>
      </c>
      <c r="B5" s="64">
        <v>0</v>
      </c>
      <c r="C5" s="64">
        <v>0</v>
      </c>
      <c r="D5" s="275">
        <v>0.05853</v>
      </c>
      <c r="E5" s="275">
        <v>0.06783</v>
      </c>
      <c r="F5" s="275">
        <v>0.08306000000000001</v>
      </c>
      <c r="G5" s="275">
        <v>0.10772</v>
      </c>
      <c r="H5" s="275">
        <v>0.20316</v>
      </c>
      <c r="I5" s="275">
        <v>0.39296</v>
      </c>
      <c r="J5" s="275">
        <v>0.416</v>
      </c>
      <c r="K5" s="195">
        <v>1.3292</v>
      </c>
      <c r="L5" s="49"/>
      <c r="M5" s="49" t="s">
        <v>328</v>
      </c>
      <c r="N5" s="49"/>
    </row>
    <row r="6" spans="1:14" ht="15" hidden="1">
      <c r="A6" s="274" t="s">
        <v>329</v>
      </c>
      <c r="B6" s="275">
        <f>(221/'[1]Exchange-rates'!Y24)/1000</f>
        <v>0.3183100129239627</v>
      </c>
      <c r="C6" s="275">
        <f>(311/'[1]Exchange-rates'!Z24)/1000</f>
        <v>0.46658165178906313</v>
      </c>
      <c r="D6" s="275">
        <f>(46/'[1]Exchange-rates'!AA24)/1000</f>
        <v>0.0751286210157945</v>
      </c>
      <c r="E6" s="275">
        <f>(67/'[1]Exchange-rates'!AB24)/1000</f>
        <v>0.12276496756897695</v>
      </c>
      <c r="F6" s="275">
        <f>(199/'[1]Exchange-rates'!AC24)/1000</f>
        <v>0.36174142686451805</v>
      </c>
      <c r="G6" s="275">
        <f>(738/'[1]Exchange-rates'!AD24)/1000</f>
        <v>1.3581365630237936</v>
      </c>
      <c r="H6" s="275">
        <f>(1504/'[1]Exchange-rates'!AE24)/1000</f>
        <v>3.0095547359766055</v>
      </c>
      <c r="I6" s="275">
        <f>(2623/'[1]Exchange-rates'!AF24)/1000</f>
        <v>4.803222608950109</v>
      </c>
      <c r="J6" s="275">
        <f>(3495/'[1]Exchange-rates'!AG24)/1000</f>
        <v>5.449584482826636</v>
      </c>
      <c r="K6" s="196">
        <v>0</v>
      </c>
      <c r="L6" s="49" t="s">
        <v>330</v>
      </c>
      <c r="M6" s="49" t="s">
        <v>331</v>
      </c>
      <c r="N6" s="49"/>
    </row>
    <row r="7" spans="1:14" ht="15">
      <c r="A7" s="274" t="s">
        <v>332</v>
      </c>
      <c r="B7" s="275">
        <f>B6*75%</f>
        <v>0.23873250969297205</v>
      </c>
      <c r="C7" s="275">
        <f>(C6*75%)+(D6*25%)</f>
        <v>0.36871839409574597</v>
      </c>
      <c r="D7" s="275">
        <f aca="true" t="shared" si="1" ref="D7:J7">(D6*75%)+(E6*25%)</f>
        <v>0.08703770765409011</v>
      </c>
      <c r="E7" s="275">
        <f t="shared" si="1"/>
        <v>0.18250908239286223</v>
      </c>
      <c r="F7" s="275">
        <f t="shared" si="1"/>
        <v>0.6108402109043369</v>
      </c>
      <c r="G7" s="275">
        <f t="shared" si="1"/>
        <v>1.7709911062619965</v>
      </c>
      <c r="H7" s="275">
        <f t="shared" si="1"/>
        <v>3.4579717042199816</v>
      </c>
      <c r="I7" s="275">
        <f t="shared" si="1"/>
        <v>4.964813077419241</v>
      </c>
      <c r="J7" s="275">
        <f t="shared" si="1"/>
        <v>4.087188362119977</v>
      </c>
      <c r="K7" s="196"/>
      <c r="L7" s="49"/>
      <c r="M7" s="49" t="s">
        <v>331</v>
      </c>
      <c r="N7" s="49"/>
    </row>
    <row r="8" spans="1:14" ht="15">
      <c r="A8" s="274" t="s">
        <v>333</v>
      </c>
      <c r="B8" s="64">
        <v>0</v>
      </c>
      <c r="C8" s="275">
        <f>(176/'[1]Exchange-rates'!Z6)/1000</f>
        <v>0.09558422599586815</v>
      </c>
      <c r="D8" s="64">
        <v>0</v>
      </c>
      <c r="E8" s="64">
        <v>0</v>
      </c>
      <c r="F8" s="275">
        <f>(91/'[1]Exchange-rates'!AC6)/1000</f>
        <v>0.06931838696875263</v>
      </c>
      <c r="G8" s="275">
        <f>(223.3/'[1]Exchange-rates'!AD6)/1000</f>
        <v>0.16815810024271097</v>
      </c>
      <c r="H8" s="275">
        <f>(394.9/'[1]Exchange-rates'!AE6)/1000</f>
        <v>0.33039583077107143</v>
      </c>
      <c r="I8" s="275">
        <f>(702/'[1]Exchange-rates'!AF6)/1000</f>
        <v>0.5862212943632568</v>
      </c>
      <c r="J8" s="275">
        <f>(1398.7/'[1]Exchange-rates'!AG6)/1000</f>
        <v>1.090880730009554</v>
      </c>
      <c r="K8" s="197">
        <v>0.1187</v>
      </c>
      <c r="L8" s="49" t="s">
        <v>334</v>
      </c>
      <c r="M8" s="198" t="s">
        <v>335</v>
      </c>
      <c r="N8" s="49" t="s">
        <v>336</v>
      </c>
    </row>
    <row r="9" spans="1:14" s="201" customFormat="1" ht="15" hidden="1">
      <c r="A9" s="274" t="s">
        <v>337</v>
      </c>
      <c r="B9" s="275">
        <f>(446/'[1]Exchange-rates'!Y7)/1000</f>
        <v>0.28803777815666154</v>
      </c>
      <c r="C9" s="275">
        <f>(680/'[1]Exchange-rates'!Z7)/1000</f>
        <v>0.43310943274128977</v>
      </c>
      <c r="D9" s="275">
        <f>(1105/'[1]Exchange-rates'!AA7)/1000</f>
        <v>0.7890839342510987</v>
      </c>
      <c r="E9" s="275">
        <f>(1091/'[1]Exchange-rates'!AB7)/1000</f>
        <v>0.8385264070488482</v>
      </c>
      <c r="F9" s="275">
        <f>(871/'[1]Exchange-rates'!AC7)/1000</f>
        <v>0.7188200457535974</v>
      </c>
      <c r="G9" s="275">
        <f>(1310/'[1]Exchange-rates'!AD7)/1000</f>
        <v>1.1548799850482712</v>
      </c>
      <c r="H9" s="275">
        <f>(1912/'[1]Exchange-rates'!AE7)/1000</f>
        <v>1.7798596591829403</v>
      </c>
      <c r="I9" s="275">
        <v>0</v>
      </c>
      <c r="J9" s="275">
        <f>(2230/'[1]Exchange-rates'!AG7)/1000</f>
        <v>1.9537701192325452</v>
      </c>
      <c r="K9" s="199">
        <v>0</v>
      </c>
      <c r="L9" s="200"/>
      <c r="M9" s="198" t="s">
        <v>338</v>
      </c>
      <c r="N9" s="200" t="s">
        <v>339</v>
      </c>
    </row>
    <row r="10" spans="1:14" s="201" customFormat="1" ht="15">
      <c r="A10" s="274" t="s">
        <v>340</v>
      </c>
      <c r="B10" s="275">
        <f>B9*75%</f>
        <v>0.21602833361749615</v>
      </c>
      <c r="C10" s="275">
        <f>(B9*25%)+(C9*75%)</f>
        <v>0.39684151909513266</v>
      </c>
      <c r="D10" s="275">
        <f aca="true" t="shared" si="2" ref="D10:K10">(C9*25%)+(D9*75%)</f>
        <v>0.7000903088736465</v>
      </c>
      <c r="E10" s="275">
        <f t="shared" si="2"/>
        <v>0.8261657888494107</v>
      </c>
      <c r="F10" s="275">
        <f t="shared" si="2"/>
        <v>0.7487466360774101</v>
      </c>
      <c r="G10" s="275">
        <f t="shared" si="2"/>
        <v>1.0458650002246026</v>
      </c>
      <c r="H10" s="275">
        <f t="shared" si="2"/>
        <v>1.623614740649273</v>
      </c>
      <c r="I10" s="275">
        <f t="shared" si="2"/>
        <v>0.4449649147957351</v>
      </c>
      <c r="J10" s="275">
        <f t="shared" si="2"/>
        <v>1.4653275894244089</v>
      </c>
      <c r="K10" s="195">
        <f t="shared" si="2"/>
        <v>0.4884425298081363</v>
      </c>
      <c r="L10" s="200"/>
      <c r="M10" s="198" t="s">
        <v>338</v>
      </c>
      <c r="N10" s="200" t="s">
        <v>339</v>
      </c>
    </row>
    <row r="11" spans="1:14" s="204" customFormat="1" ht="15">
      <c r="A11" s="274" t="s">
        <v>341</v>
      </c>
      <c r="B11" s="64">
        <v>0</v>
      </c>
      <c r="C11" s="275">
        <f>('[1]Italy-ISAF'!B7/'[1]Exchange-rates'!Z25)/1000</f>
        <v>0.06672668643921638</v>
      </c>
      <c r="D11" s="275">
        <f>('[1]Italy-ISAF'!C7/'[1]Exchange-rates'!AA25)/1000</f>
        <v>0.07722275809617804</v>
      </c>
      <c r="E11" s="275">
        <f>('[1]Italy-ISAF'!D7/'[1]Exchange-rates'!AB25)/1000</f>
        <v>0.14321593999838234</v>
      </c>
      <c r="F11" s="275">
        <f>('[1]Italy-ISAF'!E7/'[1]Exchange-rates'!AC25)/1000</f>
        <v>0.09251043281031535</v>
      </c>
      <c r="G11" s="275">
        <f>('[1]Italy-ISAF'!F7/'[1]Exchange-rates'!AD24)/1000</f>
        <v>0.5326356480298923</v>
      </c>
      <c r="H11" s="275">
        <f>('[1]Italy-ISAF'!G7/'[1]Exchange-rates'!AE25)/1000</f>
        <v>0.4599436817617068</v>
      </c>
      <c r="I11" s="275">
        <f>('[1]Italy-ISAF'!H7/'[1]Exchange-rates'!AF25)/1000</f>
        <v>0.5118156438466318</v>
      </c>
      <c r="J11" s="275">
        <f>('[1]Italy-ISAF'!I7/'[1]Exchange-rates'!AG25)/1000</f>
        <v>0.7503587357911823</v>
      </c>
      <c r="K11" s="202">
        <f>('[1]Italy-ISAF'!J7)/1000</f>
        <v>0.30878072100000004</v>
      </c>
      <c r="L11" s="203" t="s">
        <v>342</v>
      </c>
      <c r="M11" s="198" t="s">
        <v>343</v>
      </c>
      <c r="N11" s="203" t="s">
        <v>344</v>
      </c>
    </row>
    <row r="12" spans="1:14" ht="15">
      <c r="A12" s="274" t="s">
        <v>345</v>
      </c>
      <c r="B12" s="64">
        <v>0</v>
      </c>
      <c r="C12" s="275">
        <f>(427/'[1]Exchange-rates'!Z25)/1000</f>
        <v>0.4024251060489112</v>
      </c>
      <c r="D12" s="275">
        <f>(418.6/'[1]Exchange-rates'!AA25)/1000</f>
        <v>0.4729097074602693</v>
      </c>
      <c r="E12" s="275">
        <f>(280.8/'[1]Exchange-rates'!AB25)/1000</f>
        <v>0.34888128755086456</v>
      </c>
      <c r="F12" s="275">
        <f>(304.3/'[1]Exchange-rates'!AC25)/1000</f>
        <v>0.3781885971725959</v>
      </c>
      <c r="G12" s="275">
        <f>(378.3/'[1]Exchange-rates'!AD25)/1000</f>
        <v>0.47483368896698885</v>
      </c>
      <c r="H12" s="275">
        <f>(458/'[1]Exchange-rates'!AE25)/1000</f>
        <v>0.6269750398224976</v>
      </c>
      <c r="I12" s="275">
        <f>(455.5/'[1]Exchange-rates'!AF25)/1000</f>
        <v>0.6659600131583756</v>
      </c>
      <c r="J12" s="275">
        <f>(591.8/'[1]Exchange-rates'!AG25)/1000</f>
        <v>0.8221633454351666</v>
      </c>
      <c r="K12" s="197">
        <v>0.7847000000000001</v>
      </c>
      <c r="L12" s="49"/>
      <c r="M12" s="198" t="s">
        <v>346</v>
      </c>
      <c r="N12" s="200" t="s">
        <v>347</v>
      </c>
    </row>
    <row r="13" spans="1:14" s="206" customFormat="1" ht="15">
      <c r="A13" s="274" t="s">
        <v>348</v>
      </c>
      <c r="B13" s="64">
        <v>0</v>
      </c>
      <c r="C13" s="276">
        <f>('[1]Poland-OEF-ISAF'!B4)/1000</f>
        <v>0.007840030066515305</v>
      </c>
      <c r="D13" s="276">
        <f>('[1]Poland-OEF-ISAF'!C4)/1000</f>
        <v>0.003780467481807464</v>
      </c>
      <c r="E13" s="276">
        <f>('[1]Poland-OEF-ISAF'!D4)/1000</f>
        <v>0.0028212476652806034</v>
      </c>
      <c r="F13" s="276">
        <f>('[1]Poland-OEF-ISAF'!E4)/1000</f>
        <v>0.003246728148360016</v>
      </c>
      <c r="G13" s="276">
        <f>('[1]Poland-OEF-ISAF'!F4)/1000</f>
        <v>0.012920966539852159</v>
      </c>
      <c r="H13" s="276">
        <f>('[1]Poland-OEF-ISAF'!G4)/1000</f>
        <v>0.12273643670159387</v>
      </c>
      <c r="I13" s="276">
        <f>('[1]Poland-OEF-ISAF'!H4)/1000</f>
        <v>0.16588578361323966</v>
      </c>
      <c r="J13" s="276">
        <f>('[1]Poland-OEF-ISAF'!I4)/1000</f>
        <v>0.25180138660682083</v>
      </c>
      <c r="K13" s="205">
        <f>('[1]Poland-OEF-ISAF'!J4)/1000</f>
        <v>0.4791407846751894</v>
      </c>
      <c r="L13" s="200" t="s">
        <v>349</v>
      </c>
      <c r="M13" s="49" t="s">
        <v>350</v>
      </c>
      <c r="N13" s="49"/>
    </row>
    <row r="14" spans="1:14" ht="15">
      <c r="A14" s="207"/>
      <c r="M14" s="201"/>
      <c r="N14" s="208"/>
    </row>
    <row r="16" ht="15">
      <c r="B16" s="43" t="s">
        <v>538</v>
      </c>
    </row>
    <row r="17" ht="15">
      <c r="B17" s="288" t="s">
        <v>459</v>
      </c>
    </row>
    <row r="52" ht="15">
      <c r="H52" t="s">
        <v>26</v>
      </c>
    </row>
    <row r="53" ht="15">
      <c r="H53" s="85">
        <f>SUM(C2:J2)</f>
        <v>242.89235365388026</v>
      </c>
    </row>
  </sheetData>
  <sheetProtection/>
  <hyperlinks>
    <hyperlink ref="M11" r:id="rId1" display="http://www.difesa.it/default.htm"/>
    <hyperlink ref="M12" r:id="rId2" display="http://www.diw.de/deutsch ; pers comm. "/>
    <hyperlink ref="M9" r:id="rId3" display="http://www2.parl.gc.ca/Sites/PBO-DPB/default.aspx"/>
    <hyperlink ref="M8" r:id="rId4" display="http://www.defence.gov.au/annualreports/"/>
    <hyperlink ref="M10" r:id="rId5" display="http://www2.parl.gc.ca/Sites/PBO-DPB/default.aspx"/>
  </hyperlinks>
  <printOptions/>
  <pageMargins left="0.7" right="0.7" top="0.75" bottom="0.75" header="0.3" footer="0.3"/>
  <pageSetup orientation="portrait" paperSize="9"/>
  <drawing r:id="rId8"/>
  <legacyDrawing r:id="rId7"/>
</worksheet>
</file>

<file path=xl/worksheets/sheet22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B4" sqref="B4"/>
    </sheetView>
  </sheetViews>
  <sheetFormatPr defaultColWidth="9.140625" defaultRowHeight="15"/>
  <sheetData>
    <row r="3" ht="15">
      <c r="B3" s="288" t="s">
        <v>540</v>
      </c>
    </row>
    <row r="4" ht="15">
      <c r="B4" s="288" t="s">
        <v>496</v>
      </c>
    </row>
    <row r="6" spans="2:5" ht="15">
      <c r="B6" s="304">
        <v>39417</v>
      </c>
      <c r="C6" s="304">
        <v>39783</v>
      </c>
      <c r="D6" s="304">
        <v>40148</v>
      </c>
      <c r="E6" s="304">
        <v>40513</v>
      </c>
    </row>
    <row r="7" spans="2:5" ht="15">
      <c r="B7" s="305">
        <v>41700</v>
      </c>
      <c r="C7" s="305">
        <v>51350</v>
      </c>
      <c r="D7" s="305">
        <v>85795</v>
      </c>
      <c r="E7" s="305">
        <v>131730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E16" sqref="E16"/>
    </sheetView>
  </sheetViews>
  <sheetFormatPr defaultColWidth="9.140625" defaultRowHeight="15"/>
  <sheetData>
    <row r="2" spans="2:10" ht="15">
      <c r="B2" s="280" t="s">
        <v>367</v>
      </c>
      <c r="C2" s="281" t="s">
        <v>86</v>
      </c>
      <c r="D2" s="281" t="s">
        <v>87</v>
      </c>
      <c r="E2" s="281" t="s">
        <v>88</v>
      </c>
      <c r="F2" s="281" t="s">
        <v>89</v>
      </c>
      <c r="G2" s="281" t="s">
        <v>90</v>
      </c>
      <c r="H2" s="281" t="s">
        <v>91</v>
      </c>
      <c r="I2" s="281" t="s">
        <v>92</v>
      </c>
      <c r="J2" s="281">
        <v>2009</v>
      </c>
    </row>
    <row r="3" spans="2:10" ht="15">
      <c r="B3" s="282" t="s">
        <v>447</v>
      </c>
      <c r="C3" s="283">
        <v>43</v>
      </c>
      <c r="D3" s="283">
        <v>37.9</v>
      </c>
      <c r="E3" s="283">
        <v>63.6</v>
      </c>
      <c r="F3" s="283">
        <v>63.6</v>
      </c>
      <c r="G3" s="283">
        <v>62.38</v>
      </c>
      <c r="H3" s="283">
        <v>74.17</v>
      </c>
      <c r="I3" s="283">
        <v>86.35</v>
      </c>
      <c r="J3" s="283">
        <v>170.25</v>
      </c>
    </row>
    <row r="4" spans="2:10" ht="15">
      <c r="B4" s="282" t="s">
        <v>448</v>
      </c>
      <c r="C4" s="284"/>
      <c r="D4" s="284"/>
      <c r="E4" s="284"/>
      <c r="F4" s="284"/>
      <c r="G4" s="284"/>
      <c r="H4" s="283">
        <v>22.2</v>
      </c>
      <c r="I4" s="283">
        <v>48.19</v>
      </c>
      <c r="J4" s="283">
        <v>100.84</v>
      </c>
    </row>
    <row r="6" ht="15">
      <c r="B6" s="288" t="s">
        <v>541</v>
      </c>
    </row>
    <row r="7" ht="15">
      <c r="B7" s="288" t="s">
        <v>460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15.28125" style="137" customWidth="1"/>
    <col min="2" max="2" width="17.7109375" style="0" customWidth="1"/>
    <col min="7" max="11" width="9.57421875" style="0" bestFit="1" customWidth="1"/>
  </cols>
  <sheetData>
    <row r="2" spans="1:13" ht="15.75" thickBot="1">
      <c r="A2" s="139"/>
      <c r="B2" s="140"/>
      <c r="C2" s="140">
        <v>2002</v>
      </c>
      <c r="D2" s="140">
        <v>2003</v>
      </c>
      <c r="E2" s="140">
        <v>2004</v>
      </c>
      <c r="F2" s="140">
        <v>2005</v>
      </c>
      <c r="G2" s="140">
        <v>2006</v>
      </c>
      <c r="H2" s="140">
        <v>2007</v>
      </c>
      <c r="I2" s="140">
        <v>2008</v>
      </c>
      <c r="J2" s="140">
        <v>2009</v>
      </c>
      <c r="K2" s="140">
        <v>2010</v>
      </c>
      <c r="M2" t="s">
        <v>26</v>
      </c>
    </row>
    <row r="3" spans="1:12" ht="15">
      <c r="A3" s="267" t="s">
        <v>256</v>
      </c>
      <c r="B3" s="51" t="s">
        <v>438</v>
      </c>
      <c r="C3" s="170">
        <f>'[3]2.Aid-all-donors'!B5</f>
        <v>1.36162653025</v>
      </c>
      <c r="D3" s="170">
        <f>'[3]2.Aid-all-donors'!C5</f>
        <v>1.77436550025</v>
      </c>
      <c r="E3" s="170">
        <f>'[3]2.Aid-all-donors'!D5</f>
        <v>2.4297444168749998</v>
      </c>
      <c r="F3" s="170">
        <f>'[3]2.Aid-all-donors'!E5</f>
        <v>2.97782401925</v>
      </c>
      <c r="G3" s="170">
        <f>'[3]2.Aid-all-donors'!F5</f>
        <v>3.05291772875</v>
      </c>
      <c r="H3" s="170">
        <f>'[3]2.Aid-all-donors'!G5</f>
        <v>3.9691949970000002</v>
      </c>
      <c r="I3" s="170">
        <f>'[3]2.Aid-all-donors'!H5</f>
        <v>5.0153613213275</v>
      </c>
      <c r="J3" s="170">
        <f>'[3]2.Aid-all-donors'!I5</f>
        <v>6.12351288678</v>
      </c>
      <c r="K3" s="85">
        <f>'[3]2.Aid-all-donors'!J5</f>
        <v>26.704547400482497</v>
      </c>
      <c r="L3" t="s">
        <v>257</v>
      </c>
    </row>
    <row r="4" spans="1:13" ht="30">
      <c r="A4" s="141" t="s">
        <v>251</v>
      </c>
      <c r="B4" s="51" t="s">
        <v>252</v>
      </c>
      <c r="C4" s="170">
        <f>'[15]Government-revenues'!D5</f>
        <v>0.13119999999999998</v>
      </c>
      <c r="D4" s="170">
        <f>'[15]Government-revenues'!E5</f>
        <v>0.207</v>
      </c>
      <c r="E4" s="170">
        <f>'[15]Government-revenues'!F5</f>
        <v>0.27</v>
      </c>
      <c r="F4" s="170">
        <f>'[15]Government-revenues'!G5</f>
        <v>0.3796</v>
      </c>
      <c r="G4" s="170">
        <f>'[15]Government-revenues'!H5</f>
        <v>0.5775</v>
      </c>
      <c r="H4" s="170">
        <f>'[15]Government-revenues'!I5</f>
        <v>0.6693</v>
      </c>
      <c r="I4" s="170">
        <f>'[15]Government-revenues'!J5</f>
        <v>0.8142000000000001</v>
      </c>
      <c r="J4" s="170">
        <f>'[15]Government-revenues'!K5</f>
        <v>1.2905</v>
      </c>
      <c r="K4" s="85">
        <f>'[15]Government-revenues'!L5</f>
        <v>1.5936000000000001</v>
      </c>
      <c r="M4" s="85">
        <f>SUM(C4:J4)</f>
        <v>4.339300000000001</v>
      </c>
    </row>
    <row r="5" spans="1:13" ht="30">
      <c r="A5" s="360" t="s">
        <v>253</v>
      </c>
      <c r="B5" s="277" t="s">
        <v>542</v>
      </c>
      <c r="C5" s="278">
        <f>'[15]FDI'!AH8/1000</f>
        <v>0.05</v>
      </c>
      <c r="D5" s="278">
        <f>'[15]FDI'!AI8/1000</f>
        <v>0.0578</v>
      </c>
      <c r="E5" s="278">
        <f>'[15]FDI'!AJ8/1000</f>
        <v>0.1869</v>
      </c>
      <c r="F5" s="278">
        <f>'[15]FDI'!AK8/1000</f>
        <v>0.271</v>
      </c>
      <c r="G5" s="278">
        <f>'[15]FDI'!AL8/1000</f>
        <v>0.238</v>
      </c>
      <c r="H5" s="278">
        <f>'[15]FDI'!AM8/1000</f>
        <v>0.243</v>
      </c>
      <c r="I5" s="278">
        <f>'[15]FDI'!AN8/1000</f>
        <v>0.3</v>
      </c>
      <c r="J5" s="278">
        <f>'[15]FDI'!AO8/1000</f>
        <v>0.185</v>
      </c>
      <c r="K5" s="137" t="e">
        <f>'[15]FDI'!AP8</f>
        <v>#REF!</v>
      </c>
      <c r="M5" s="85">
        <f>SUM(C5:J5)</f>
        <v>1.5317</v>
      </c>
    </row>
    <row r="6" spans="1:13" ht="37.5" customHeight="1">
      <c r="A6" s="360"/>
      <c r="B6" s="277" t="s">
        <v>254</v>
      </c>
      <c r="C6" s="170">
        <f>'[15]Informal-revenues'!D6</f>
        <v>2.54</v>
      </c>
      <c r="D6" s="170">
        <f>'[15]Informal-revenues'!E6</f>
        <v>2.3</v>
      </c>
      <c r="E6" s="170">
        <f>'[15]Informal-revenues'!F6</f>
        <v>2.8</v>
      </c>
      <c r="F6" s="170">
        <f>'[15]Informal-revenues'!G6</f>
        <v>2.7</v>
      </c>
      <c r="G6" s="170">
        <f>'[15]Informal-revenues'!H6</f>
        <v>3.1</v>
      </c>
      <c r="H6" s="170">
        <f>'[15]Informal-revenues'!I6</f>
        <v>4</v>
      </c>
      <c r="I6" s="170">
        <f>'[15]Informal-revenues'!J6</f>
        <v>3.4</v>
      </c>
      <c r="J6" s="170">
        <f>'[15]Informal-revenues'!K6</f>
        <v>2.8</v>
      </c>
      <c r="K6" s="85"/>
      <c r="M6" s="85">
        <f>SUM(C6:J6)</f>
        <v>23.639999999999997</v>
      </c>
    </row>
    <row r="7" spans="1:13" ht="15">
      <c r="A7" s="360"/>
      <c r="B7" s="51" t="s">
        <v>255</v>
      </c>
      <c r="C7" s="170">
        <f>'[15]Remittances'!D8</f>
        <v>0</v>
      </c>
      <c r="D7" s="170">
        <f>'[15]Remittances'!E8</f>
        <v>0</v>
      </c>
      <c r="E7" s="170">
        <f>'[15]Remittances'!F8</f>
        <v>1.4080000000000001</v>
      </c>
      <c r="F7" s="170">
        <f>'[15]Remittances'!G8</f>
        <v>2.0504000000000002</v>
      </c>
      <c r="G7" s="170">
        <f>'[15]Remittances'!H8</f>
        <v>2.4992</v>
      </c>
      <c r="H7" s="170">
        <f>'[15]Remittances'!I8</f>
        <v>3.4584</v>
      </c>
      <c r="I7" s="170">
        <f>'[15]Remittances'!J8</f>
        <v>4.0304</v>
      </c>
      <c r="J7" s="170">
        <f>'[15]Remittances'!K8</f>
        <v>3.1152</v>
      </c>
      <c r="K7" s="85">
        <f>'[15]Remittances'!L8</f>
        <v>3.2296000000000005</v>
      </c>
      <c r="M7" s="85">
        <f>SUM(C7:J7)</f>
        <v>16.561600000000002</v>
      </c>
    </row>
    <row r="26" spans="3:11" ht="15">
      <c r="C26" s="288" t="s">
        <v>503</v>
      </c>
      <c r="K26" s="288" t="s">
        <v>502</v>
      </c>
    </row>
    <row r="27" spans="3:11" ht="15">
      <c r="C27" s="288" t="s">
        <v>478</v>
      </c>
      <c r="K27" s="288" t="s">
        <v>479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6.8515625" style="0" customWidth="1"/>
    <col min="2" max="2" width="35.421875" style="0" customWidth="1"/>
  </cols>
  <sheetData>
    <row r="1" spans="1:6" ht="15">
      <c r="A1" s="189"/>
      <c r="B1" s="216" t="s">
        <v>375</v>
      </c>
      <c r="C1" s="363" t="s">
        <v>376</v>
      </c>
      <c r="D1" s="365" t="s">
        <v>377</v>
      </c>
      <c r="E1" s="367" t="s">
        <v>378</v>
      </c>
      <c r="F1" s="368"/>
    </row>
    <row r="2" spans="1:6" ht="15.75" thickBot="1">
      <c r="A2" s="217" t="s">
        <v>379</v>
      </c>
      <c r="B2" s="218"/>
      <c r="C2" s="364"/>
      <c r="D2" s="366"/>
      <c r="E2" s="219">
        <v>2015</v>
      </c>
      <c r="F2" s="220">
        <v>2020</v>
      </c>
    </row>
    <row r="3" spans="1:6" ht="27.75" customHeight="1">
      <c r="A3" s="369" t="s">
        <v>380</v>
      </c>
      <c r="B3" s="221" t="s">
        <v>381</v>
      </c>
      <c r="C3" s="222">
        <v>257</v>
      </c>
      <c r="D3" s="223">
        <v>191</v>
      </c>
      <c r="E3" s="224">
        <v>115</v>
      </c>
      <c r="F3" s="225">
        <v>76</v>
      </c>
    </row>
    <row r="4" spans="1:6" ht="34.5" customHeight="1" thickBot="1">
      <c r="A4" s="370"/>
      <c r="B4" s="226" t="s">
        <v>382</v>
      </c>
      <c r="C4" s="227">
        <v>0.35</v>
      </c>
      <c r="D4" s="227">
        <v>0.68</v>
      </c>
      <c r="E4" s="228">
        <v>0.9</v>
      </c>
      <c r="F4" s="229">
        <v>1</v>
      </c>
    </row>
    <row r="5" spans="1:6" ht="42.75" customHeight="1">
      <c r="A5" s="369" t="s">
        <v>383</v>
      </c>
      <c r="B5" s="221" t="s">
        <v>384</v>
      </c>
      <c r="C5" s="230">
        <v>0.18</v>
      </c>
      <c r="D5" s="230">
        <v>0.2</v>
      </c>
      <c r="E5" s="231">
        <v>0.85</v>
      </c>
      <c r="F5" s="232">
        <v>0.95</v>
      </c>
    </row>
    <row r="6" spans="1:6" ht="39" customHeight="1" thickBot="1">
      <c r="A6" s="370"/>
      <c r="B6" s="226" t="s">
        <v>385</v>
      </c>
      <c r="C6" s="233">
        <v>440</v>
      </c>
      <c r="D6" s="233">
        <v>231</v>
      </c>
      <c r="E6" s="234">
        <v>224</v>
      </c>
      <c r="F6" s="235">
        <v>143</v>
      </c>
    </row>
    <row r="7" spans="1:6" ht="33.75" customHeight="1">
      <c r="A7" s="369" t="s">
        <v>386</v>
      </c>
      <c r="B7" s="236" t="s">
        <v>387</v>
      </c>
      <c r="C7" s="237">
        <v>0.43</v>
      </c>
      <c r="D7" s="237">
        <v>0.25</v>
      </c>
      <c r="E7" s="238">
        <v>0.2</v>
      </c>
      <c r="F7" s="239">
        <v>0.2</v>
      </c>
    </row>
    <row r="8" spans="1:6" ht="39" customHeight="1" thickBot="1">
      <c r="A8" s="370"/>
      <c r="B8" s="236" t="s">
        <v>388</v>
      </c>
      <c r="C8" s="237">
        <v>0</v>
      </c>
      <c r="D8" s="237">
        <v>0.6</v>
      </c>
      <c r="E8" s="238">
        <v>1</v>
      </c>
      <c r="F8" s="239">
        <v>1</v>
      </c>
    </row>
    <row r="9" spans="1:6" ht="25.5" customHeight="1">
      <c r="A9" s="371" t="s">
        <v>389</v>
      </c>
      <c r="B9" s="221" t="s">
        <v>390</v>
      </c>
      <c r="C9" s="230">
        <v>0.54</v>
      </c>
      <c r="D9" s="230">
        <v>0.6</v>
      </c>
      <c r="E9" s="240"/>
      <c r="F9" s="232">
        <v>1</v>
      </c>
    </row>
    <row r="10" spans="1:6" ht="24" customHeight="1" thickBot="1">
      <c r="A10" s="372"/>
      <c r="B10" s="226" t="s">
        <v>391</v>
      </c>
      <c r="C10" s="241">
        <v>0.25</v>
      </c>
      <c r="D10" s="241">
        <v>0.38</v>
      </c>
      <c r="E10" s="234"/>
      <c r="F10" s="242">
        <v>1</v>
      </c>
    </row>
    <row r="11" spans="1:6" ht="35.25" customHeight="1">
      <c r="A11" s="371" t="s">
        <v>392</v>
      </c>
      <c r="B11" s="221" t="s">
        <v>393</v>
      </c>
      <c r="C11" s="243">
        <v>0.06</v>
      </c>
      <c r="D11" s="243">
        <v>0.199</v>
      </c>
      <c r="E11" s="231">
        <v>0.5</v>
      </c>
      <c r="F11" s="232">
        <v>0.75</v>
      </c>
    </row>
    <row r="12" spans="1:6" ht="33" customHeight="1" thickBot="1">
      <c r="A12" s="372"/>
      <c r="B12" s="226" t="s">
        <v>394</v>
      </c>
      <c r="C12" s="233">
        <v>6.3</v>
      </c>
      <c r="D12" s="233">
        <v>7.2</v>
      </c>
      <c r="E12" s="234">
        <v>4.4</v>
      </c>
      <c r="F12" s="235">
        <v>3.1</v>
      </c>
    </row>
    <row r="13" spans="1:6" ht="20.25" customHeight="1">
      <c r="A13" s="371" t="s">
        <v>395</v>
      </c>
      <c r="B13" s="244" t="s">
        <v>396</v>
      </c>
      <c r="C13" s="243">
        <v>0.016</v>
      </c>
      <c r="D13" s="243">
        <v>0.013</v>
      </c>
      <c r="E13" s="245">
        <v>0.021</v>
      </c>
      <c r="F13" s="246"/>
    </row>
    <row r="14" spans="1:6" ht="42" customHeight="1">
      <c r="A14" s="373"/>
      <c r="B14" s="247" t="s">
        <v>397</v>
      </c>
      <c r="C14" s="248">
        <v>0.23</v>
      </c>
      <c r="D14" s="248">
        <v>0.414</v>
      </c>
      <c r="E14" s="249"/>
      <c r="F14" s="250">
        <v>0.615</v>
      </c>
    </row>
    <row r="15" spans="1:6" ht="23.25" customHeight="1" thickBot="1">
      <c r="A15" s="251"/>
      <c r="B15" s="252" t="s">
        <v>398</v>
      </c>
      <c r="C15" s="253">
        <v>2458024</v>
      </c>
      <c r="D15" s="253">
        <v>4500000</v>
      </c>
      <c r="E15" s="254">
        <v>1543639</v>
      </c>
      <c r="F15" s="235"/>
    </row>
    <row r="16" spans="1:6" ht="45" customHeight="1">
      <c r="A16" s="371" t="s">
        <v>399</v>
      </c>
      <c r="B16" s="236" t="s">
        <v>400</v>
      </c>
      <c r="C16" s="237">
        <v>0.26</v>
      </c>
      <c r="D16" s="237">
        <v>0.44</v>
      </c>
      <c r="E16" s="238">
        <v>1</v>
      </c>
      <c r="F16" s="255"/>
    </row>
    <row r="17" spans="1:6" ht="36.75" customHeight="1">
      <c r="A17" s="373"/>
      <c r="B17" s="236" t="s">
        <v>401</v>
      </c>
      <c r="C17" s="237">
        <v>0.26</v>
      </c>
      <c r="D17" s="237">
        <v>0.47</v>
      </c>
      <c r="E17" s="238"/>
      <c r="F17" s="239">
        <v>0</v>
      </c>
    </row>
    <row r="18" spans="1:6" ht="24" customHeight="1" thickBot="1">
      <c r="A18" s="372"/>
      <c r="B18" s="236" t="s">
        <v>402</v>
      </c>
      <c r="C18" s="256">
        <v>1</v>
      </c>
      <c r="D18" s="256">
        <v>210</v>
      </c>
      <c r="E18" s="136">
        <v>500</v>
      </c>
      <c r="F18" s="255">
        <v>800</v>
      </c>
    </row>
    <row r="19" spans="1:6" ht="40.5" customHeight="1">
      <c r="A19" s="361" t="s">
        <v>403</v>
      </c>
      <c r="B19" s="221" t="s">
        <v>404</v>
      </c>
      <c r="C19" s="230">
        <v>0.33</v>
      </c>
      <c r="D19" s="230">
        <v>0.42</v>
      </c>
      <c r="E19" s="231">
        <v>0.24</v>
      </c>
      <c r="F19" s="232">
        <v>0.21</v>
      </c>
    </row>
    <row r="20" spans="1:6" ht="54.75" customHeight="1" thickBot="1">
      <c r="A20" s="362"/>
      <c r="B20" s="226" t="s">
        <v>405</v>
      </c>
      <c r="C20" s="241">
        <v>0.3</v>
      </c>
      <c r="D20" s="241">
        <v>0.39</v>
      </c>
      <c r="E20" s="257">
        <v>0.11</v>
      </c>
      <c r="F20" s="242">
        <v>0.09</v>
      </c>
    </row>
    <row r="21" spans="1:6" ht="23.25" customHeight="1">
      <c r="A21" s="361" t="s">
        <v>406</v>
      </c>
      <c r="B21" s="221" t="s">
        <v>407</v>
      </c>
      <c r="C21" s="258">
        <v>0.6</v>
      </c>
      <c r="D21" s="258">
        <v>0.59</v>
      </c>
      <c r="E21" s="240"/>
      <c r="F21" s="246">
        <v>1</v>
      </c>
    </row>
    <row r="22" spans="1:6" ht="42" customHeight="1" thickBot="1">
      <c r="A22" s="362"/>
      <c r="B22" s="226" t="s">
        <v>408</v>
      </c>
      <c r="C22" s="233">
        <v>0.32</v>
      </c>
      <c r="D22" s="233">
        <v>0.32</v>
      </c>
      <c r="E22" s="234">
        <v>0.5</v>
      </c>
      <c r="F22" s="235">
        <v>1</v>
      </c>
    </row>
    <row r="24" ht="15">
      <c r="B24" s="288" t="s">
        <v>504</v>
      </c>
    </row>
    <row r="25" ht="15">
      <c r="B25" s="288" t="s">
        <v>466</v>
      </c>
    </row>
  </sheetData>
  <sheetProtection/>
  <mergeCells count="12">
    <mergeCell ref="A21:A22"/>
    <mergeCell ref="C1:C2"/>
    <mergeCell ref="D1:D2"/>
    <mergeCell ref="E1:F1"/>
    <mergeCell ref="A3:A4"/>
    <mergeCell ref="A5:A6"/>
    <mergeCell ref="A7:A8"/>
    <mergeCell ref="A9:A10"/>
    <mergeCell ref="A11:A12"/>
    <mergeCell ref="A13:A14"/>
    <mergeCell ref="A16:A18"/>
    <mergeCell ref="A19:A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45"/>
  <sheetViews>
    <sheetView zoomScalePageLayoutView="0" workbookViewId="0" topLeftCell="A13">
      <selection activeCell="O8" sqref="O8"/>
    </sheetView>
  </sheetViews>
  <sheetFormatPr defaultColWidth="9.140625" defaultRowHeight="15"/>
  <cols>
    <col min="2" max="2" width="10.00390625" style="0" bestFit="1" customWidth="1"/>
  </cols>
  <sheetData>
    <row r="3" spans="1:4" ht="15">
      <c r="A3" s="259"/>
      <c r="B3" s="259" t="s">
        <v>409</v>
      </c>
      <c r="C3" s="259" t="s">
        <v>410</v>
      </c>
      <c r="D3" t="s">
        <v>445</v>
      </c>
    </row>
    <row r="4" spans="1:4" ht="15">
      <c r="A4" s="260">
        <v>2000</v>
      </c>
      <c r="B4" s="261">
        <v>9</v>
      </c>
      <c r="C4" s="261">
        <v>0</v>
      </c>
      <c r="D4">
        <f>B4+C4</f>
        <v>9</v>
      </c>
    </row>
    <row r="5" spans="1:4" ht="15">
      <c r="A5" s="260">
        <v>2001</v>
      </c>
      <c r="B5" s="261">
        <v>6</v>
      </c>
      <c r="C5" s="261">
        <v>0</v>
      </c>
      <c r="D5">
        <f aca="true" t="shared" si="0" ref="D5:D14">B5+C5</f>
        <v>6</v>
      </c>
    </row>
    <row r="6" spans="1:4" ht="15">
      <c r="A6" s="260">
        <v>2002</v>
      </c>
      <c r="B6" s="261">
        <v>7</v>
      </c>
      <c r="C6" s="261">
        <v>1</v>
      </c>
      <c r="D6">
        <f t="shared" si="0"/>
        <v>8</v>
      </c>
    </row>
    <row r="7" spans="1:15" ht="15">
      <c r="A7" s="260">
        <v>2003</v>
      </c>
      <c r="B7" s="261">
        <v>20</v>
      </c>
      <c r="C7" s="261">
        <v>2</v>
      </c>
      <c r="D7">
        <f t="shared" si="0"/>
        <v>22</v>
      </c>
      <c r="O7" s="288" t="s">
        <v>506</v>
      </c>
    </row>
    <row r="8" spans="1:15" ht="15">
      <c r="A8" s="260">
        <v>2004</v>
      </c>
      <c r="B8" s="261">
        <v>36</v>
      </c>
      <c r="C8" s="261">
        <v>4</v>
      </c>
      <c r="D8">
        <f t="shared" si="0"/>
        <v>40</v>
      </c>
      <c r="O8" s="288" t="s">
        <v>543</v>
      </c>
    </row>
    <row r="9" spans="1:4" ht="15">
      <c r="A9" s="260">
        <v>2005</v>
      </c>
      <c r="B9" s="261">
        <v>32</v>
      </c>
      <c r="C9" s="261">
        <v>3</v>
      </c>
      <c r="D9">
        <f t="shared" si="0"/>
        <v>35</v>
      </c>
    </row>
    <row r="10" spans="1:4" ht="15">
      <c r="A10" s="260">
        <v>2006</v>
      </c>
      <c r="B10" s="261">
        <v>54</v>
      </c>
      <c r="C10" s="261">
        <v>1</v>
      </c>
      <c r="D10">
        <f t="shared" si="0"/>
        <v>55</v>
      </c>
    </row>
    <row r="11" spans="1:4" ht="15">
      <c r="A11" s="260">
        <v>2007</v>
      </c>
      <c r="B11" s="261">
        <v>36</v>
      </c>
      <c r="C11" s="261">
        <v>12</v>
      </c>
      <c r="D11">
        <f t="shared" si="0"/>
        <v>48</v>
      </c>
    </row>
    <row r="12" spans="1:4" ht="15">
      <c r="A12" s="260">
        <v>2008</v>
      </c>
      <c r="B12" s="261">
        <v>50</v>
      </c>
      <c r="C12" s="261">
        <v>13</v>
      </c>
      <c r="D12">
        <f t="shared" si="0"/>
        <v>63</v>
      </c>
    </row>
    <row r="13" spans="1:4" ht="15">
      <c r="A13" s="260">
        <v>2009</v>
      </c>
      <c r="B13" s="261">
        <v>46</v>
      </c>
      <c r="C13" s="261">
        <v>16</v>
      </c>
      <c r="D13">
        <f t="shared" si="0"/>
        <v>62</v>
      </c>
    </row>
    <row r="14" spans="1:4" ht="15">
      <c r="A14" s="260">
        <v>2010</v>
      </c>
      <c r="B14" s="261">
        <v>76</v>
      </c>
      <c r="C14" s="261">
        <v>21</v>
      </c>
      <c r="D14">
        <f t="shared" si="0"/>
        <v>97</v>
      </c>
    </row>
    <row r="15" spans="1:3" ht="15">
      <c r="A15" s="262" t="s">
        <v>411</v>
      </c>
      <c r="B15" s="263">
        <v>372</v>
      </c>
      <c r="C15" s="263">
        <v>73</v>
      </c>
    </row>
    <row r="20" spans="1:2" ht="15">
      <c r="A20" t="s">
        <v>25</v>
      </c>
      <c r="B20" t="s">
        <v>412</v>
      </c>
    </row>
    <row r="21" ht="15">
      <c r="B21" s="208" t="s">
        <v>413</v>
      </c>
    </row>
    <row r="22" spans="1:2" ht="15">
      <c r="A22" t="s">
        <v>414</v>
      </c>
      <c r="B22" s="264">
        <v>40485</v>
      </c>
    </row>
    <row r="26" spans="2:5" ht="15">
      <c r="B26">
        <v>2007</v>
      </c>
      <c r="C26">
        <v>2008</v>
      </c>
      <c r="D26">
        <v>2009</v>
      </c>
      <c r="E26">
        <v>2010</v>
      </c>
    </row>
    <row r="27" spans="1:5" ht="15">
      <c r="A27" t="s">
        <v>415</v>
      </c>
      <c r="B27">
        <v>50</v>
      </c>
      <c r="C27">
        <v>56</v>
      </c>
      <c r="D27">
        <v>141</v>
      </c>
      <c r="E27">
        <v>173</v>
      </c>
    </row>
    <row r="28" spans="1:15" ht="15">
      <c r="A28" t="s">
        <v>416</v>
      </c>
      <c r="B28">
        <v>45</v>
      </c>
      <c r="C28">
        <v>168</v>
      </c>
      <c r="D28">
        <v>149</v>
      </c>
      <c r="E28">
        <v>197</v>
      </c>
      <c r="O28" s="288" t="s">
        <v>505</v>
      </c>
    </row>
    <row r="29" spans="1:15" ht="15">
      <c r="A29" t="s">
        <v>417</v>
      </c>
      <c r="B29">
        <v>104</v>
      </c>
      <c r="C29">
        <v>122</v>
      </c>
      <c r="D29">
        <v>129</v>
      </c>
      <c r="E29">
        <v>198</v>
      </c>
      <c r="O29" s="288" t="s">
        <v>467</v>
      </c>
    </row>
    <row r="30" spans="1:5" ht="15">
      <c r="A30" t="s">
        <v>418</v>
      </c>
      <c r="B30">
        <v>85</v>
      </c>
      <c r="C30">
        <v>136</v>
      </c>
      <c r="D30">
        <v>128</v>
      </c>
      <c r="E30">
        <v>211</v>
      </c>
    </row>
    <row r="31" spans="1:5" ht="15">
      <c r="A31" t="s">
        <v>419</v>
      </c>
      <c r="B31">
        <v>147</v>
      </c>
      <c r="C31">
        <v>164</v>
      </c>
      <c r="D31">
        <v>271</v>
      </c>
      <c r="E31">
        <v>166</v>
      </c>
    </row>
    <row r="32" spans="1:5" ht="15">
      <c r="A32" t="s">
        <v>420</v>
      </c>
      <c r="B32">
        <v>253</v>
      </c>
      <c r="C32">
        <v>172</v>
      </c>
      <c r="D32">
        <v>236</v>
      </c>
      <c r="E32">
        <v>326</v>
      </c>
    </row>
    <row r="33" spans="1:4" ht="15">
      <c r="A33" t="s">
        <v>421</v>
      </c>
      <c r="B33">
        <v>218</v>
      </c>
      <c r="C33">
        <v>323</v>
      </c>
      <c r="D33">
        <v>198</v>
      </c>
    </row>
    <row r="34" spans="1:4" ht="15">
      <c r="A34" t="s">
        <v>422</v>
      </c>
      <c r="B34">
        <v>138</v>
      </c>
      <c r="C34">
        <v>341</v>
      </c>
      <c r="D34">
        <v>333</v>
      </c>
    </row>
    <row r="35" spans="1:4" ht="15">
      <c r="A35" t="s">
        <v>423</v>
      </c>
      <c r="B35">
        <v>155</v>
      </c>
      <c r="C35">
        <v>162</v>
      </c>
      <c r="D35">
        <v>336</v>
      </c>
    </row>
    <row r="36" spans="1:4" ht="15">
      <c r="A36" t="s">
        <v>424</v>
      </c>
      <c r="B36">
        <v>80</v>
      </c>
      <c r="C36">
        <v>194</v>
      </c>
      <c r="D36">
        <v>162</v>
      </c>
    </row>
    <row r="37" spans="1:4" ht="15">
      <c r="A37" t="s">
        <v>425</v>
      </c>
      <c r="B37">
        <v>160</v>
      </c>
      <c r="C37">
        <v>176</v>
      </c>
      <c r="D37">
        <v>165</v>
      </c>
    </row>
    <row r="38" spans="1:13" ht="15">
      <c r="A38" t="s">
        <v>426</v>
      </c>
      <c r="B38">
        <v>88</v>
      </c>
      <c r="C38">
        <v>104</v>
      </c>
      <c r="D38">
        <v>164</v>
      </c>
      <c r="G38">
        <f>SUM(B27:B32)</f>
        <v>684</v>
      </c>
      <c r="H38">
        <f>SUM(B33:B38)</f>
        <v>839</v>
      </c>
      <c r="I38">
        <f>SUM(C27:C32)</f>
        <v>818</v>
      </c>
      <c r="J38">
        <f>SUM(C33:C38)</f>
        <v>1300</v>
      </c>
      <c r="K38">
        <f>SUM(D27:D32)</f>
        <v>1054</v>
      </c>
      <c r="L38">
        <f>SUM(D33:D38)</f>
        <v>1358</v>
      </c>
      <c r="M38">
        <f>SUM(E27:E32)</f>
        <v>1271</v>
      </c>
    </row>
    <row r="39" spans="1:13" ht="15">
      <c r="A39" t="s">
        <v>24</v>
      </c>
      <c r="B39">
        <f>SUM(B27:B38)</f>
        <v>1523</v>
      </c>
      <c r="C39">
        <f>SUM(C27:C38)</f>
        <v>2118</v>
      </c>
      <c r="D39">
        <f>SUM(D27:D38)</f>
        <v>2412</v>
      </c>
      <c r="E39">
        <f>SUM(E27:E38)</f>
        <v>1271</v>
      </c>
      <c r="G39" t="s">
        <v>427</v>
      </c>
      <c r="H39" t="s">
        <v>428</v>
      </c>
      <c r="I39" t="s">
        <v>429</v>
      </c>
      <c r="J39" t="s">
        <v>430</v>
      </c>
      <c r="K39" t="s">
        <v>431</v>
      </c>
      <c r="L39" t="s">
        <v>432</v>
      </c>
      <c r="M39" t="s">
        <v>433</v>
      </c>
    </row>
    <row r="42" spans="1:2" ht="15">
      <c r="A42" t="s">
        <v>25</v>
      </c>
      <c r="B42" t="s">
        <v>434</v>
      </c>
    </row>
    <row r="43" ht="15">
      <c r="B43" s="208" t="s">
        <v>435</v>
      </c>
    </row>
    <row r="44" ht="15">
      <c r="B44" t="s">
        <v>436</v>
      </c>
    </row>
    <row r="45" ht="15">
      <c r="B45" t="s">
        <v>437</v>
      </c>
    </row>
  </sheetData>
  <sheetProtection/>
  <hyperlinks>
    <hyperlink ref="B21" r:id="rId1" display="http://www.aidworkersecurity.org/index.php"/>
    <hyperlink ref="B43" r:id="rId2" display="http://unama.unmissions.org/Default.aspx?tabid=1816"/>
  </hyperlinks>
  <printOptions/>
  <pageMargins left="0.7" right="0.7" top="0.75" bottom="0.75" header="0.3" footer="0.3"/>
  <pageSetup orientation="portrait" paperSize="9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H6" sqref="H6:I6"/>
    </sheetView>
  </sheetViews>
  <sheetFormatPr defaultColWidth="9.140625" defaultRowHeight="15"/>
  <cols>
    <col min="1" max="1" width="27.140625" style="94" customWidth="1"/>
    <col min="2" max="2" width="13.57421875" style="67" customWidth="1"/>
    <col min="3" max="3" width="12.7109375" style="67" customWidth="1"/>
    <col min="4" max="4" width="13.00390625" style="67" customWidth="1"/>
    <col min="5" max="11" width="12.7109375" style="67" customWidth="1"/>
    <col min="12" max="12" width="14.00390625" style="67" customWidth="1"/>
    <col min="13" max="14" width="12.7109375" style="67" customWidth="1"/>
    <col min="15" max="16384" width="9.140625" style="67" customWidth="1"/>
  </cols>
  <sheetData>
    <row r="1" spans="1:13" ht="15">
      <c r="A1" s="92"/>
      <c r="B1" s="384" t="s">
        <v>203</v>
      </c>
      <c r="C1" s="384"/>
      <c r="D1" s="385" t="s">
        <v>204</v>
      </c>
      <c r="E1" s="385"/>
      <c r="F1" s="386"/>
      <c r="G1" s="386"/>
      <c r="H1" s="387" t="s">
        <v>205</v>
      </c>
      <c r="I1" s="388"/>
      <c r="J1" s="388"/>
      <c r="K1" s="388"/>
      <c r="L1" s="389" t="s">
        <v>206</v>
      </c>
      <c r="M1" s="390"/>
    </row>
    <row r="2" spans="1:13" ht="15">
      <c r="A2" s="92" t="s">
        <v>207</v>
      </c>
      <c r="B2" s="391" t="s">
        <v>208</v>
      </c>
      <c r="C2" s="392"/>
      <c r="D2" s="393" t="s">
        <v>209</v>
      </c>
      <c r="E2" s="394"/>
      <c r="F2" s="394"/>
      <c r="G2" s="394"/>
      <c r="H2" s="395" t="s">
        <v>210</v>
      </c>
      <c r="I2" s="396"/>
      <c r="J2" s="396"/>
      <c r="K2" s="396"/>
      <c r="L2" s="397" t="s">
        <v>211</v>
      </c>
      <c r="M2" s="398"/>
    </row>
    <row r="3" spans="1:13" ht="52.5" customHeight="1">
      <c r="A3" s="92" t="s">
        <v>212</v>
      </c>
      <c r="B3" s="391"/>
      <c r="C3" s="392"/>
      <c r="D3" s="399" t="s">
        <v>213</v>
      </c>
      <c r="E3" s="400"/>
      <c r="F3" s="401" t="s">
        <v>214</v>
      </c>
      <c r="G3" s="402"/>
      <c r="H3" s="93"/>
      <c r="I3" s="93"/>
      <c r="J3" s="93"/>
      <c r="K3" s="93"/>
      <c r="L3" s="398"/>
      <c r="M3" s="398"/>
    </row>
    <row r="4" spans="1:13" s="94" customFormat="1" ht="48" customHeight="1">
      <c r="A4" s="92" t="s">
        <v>215</v>
      </c>
      <c r="B4" s="380" t="s">
        <v>216</v>
      </c>
      <c r="C4" s="380"/>
      <c r="D4" s="381" t="s">
        <v>217</v>
      </c>
      <c r="E4" s="381"/>
      <c r="F4" s="381" t="s">
        <v>218</v>
      </c>
      <c r="G4" s="381"/>
      <c r="H4" s="382" t="s">
        <v>219</v>
      </c>
      <c r="I4" s="382"/>
      <c r="J4" s="382" t="s">
        <v>220</v>
      </c>
      <c r="K4" s="382"/>
      <c r="L4" s="383" t="s">
        <v>221</v>
      </c>
      <c r="M4" s="383"/>
    </row>
    <row r="5" spans="1:13" ht="15">
      <c r="A5" s="92" t="s">
        <v>222</v>
      </c>
      <c r="B5" s="374" t="s">
        <v>223</v>
      </c>
      <c r="C5" s="375"/>
      <c r="D5" s="376" t="s">
        <v>158</v>
      </c>
      <c r="E5" s="377"/>
      <c r="F5" s="376" t="s">
        <v>224</v>
      </c>
      <c r="G5" s="375"/>
      <c r="H5" s="138" t="s">
        <v>223</v>
      </c>
      <c r="I5" s="95"/>
      <c r="J5" s="378" t="s">
        <v>225</v>
      </c>
      <c r="K5" s="375"/>
      <c r="L5" s="379" t="s">
        <v>158</v>
      </c>
      <c r="M5" s="379"/>
    </row>
    <row r="6" spans="1:13" ht="25.5">
      <c r="A6" s="92" t="s">
        <v>226</v>
      </c>
      <c r="B6" s="96">
        <v>39083</v>
      </c>
      <c r="C6" s="96">
        <v>40269</v>
      </c>
      <c r="D6" s="97">
        <v>37257</v>
      </c>
      <c r="E6" s="97">
        <v>40543</v>
      </c>
      <c r="F6" s="97">
        <v>37257</v>
      </c>
      <c r="G6" s="97">
        <v>40473</v>
      </c>
      <c r="H6" s="98">
        <v>39083</v>
      </c>
      <c r="I6" s="98">
        <v>40452</v>
      </c>
      <c r="J6" s="98">
        <v>40148</v>
      </c>
      <c r="K6" s="98">
        <v>40483</v>
      </c>
      <c r="L6" s="99">
        <v>38504</v>
      </c>
      <c r="M6" s="99">
        <v>40178</v>
      </c>
    </row>
    <row r="7" spans="1:13" ht="25.5">
      <c r="A7" s="92" t="s">
        <v>227</v>
      </c>
      <c r="B7" s="100"/>
      <c r="C7" s="101">
        <f>SUM(C9:C27)</f>
        <v>224.66552832533424</v>
      </c>
      <c r="D7" s="102"/>
      <c r="E7" s="103">
        <f>SUM(E9:E28)</f>
        <v>1594.101077246692</v>
      </c>
      <c r="F7" s="102"/>
      <c r="G7" s="103">
        <f>SUM(G9:G40)</f>
        <v>3984.249999999999</v>
      </c>
      <c r="H7" s="104"/>
      <c r="I7" s="105">
        <f>SUM(I9:I21)</f>
        <v>3.4866729999999997</v>
      </c>
      <c r="J7" s="104"/>
      <c r="K7" s="105">
        <f>SUM(K9:K13)</f>
        <v>6.266755999999999</v>
      </c>
      <c r="L7" s="106"/>
      <c r="M7" s="107">
        <f>SUM(M9:M26)</f>
        <v>67.87664399999997</v>
      </c>
    </row>
    <row r="8" spans="2:13" ht="15">
      <c r="B8" s="108"/>
      <c r="C8" s="108"/>
      <c r="D8" s="109"/>
      <c r="E8" s="109"/>
      <c r="F8" s="109"/>
      <c r="G8" s="109"/>
      <c r="H8" s="95"/>
      <c r="I8" s="95"/>
      <c r="J8" s="95"/>
      <c r="K8" s="110"/>
      <c r="L8" s="111"/>
      <c r="M8" s="111"/>
    </row>
    <row r="9" spans="1:13" ht="25.5">
      <c r="A9" s="92" t="s">
        <v>228</v>
      </c>
      <c r="B9" s="108" t="str">
        <f>'[7]ANA TF'!A4</f>
        <v>Germany</v>
      </c>
      <c r="C9" s="112">
        <f>('[7]ANA TF'!D4)/1000000</f>
        <v>70.28148060964405</v>
      </c>
      <c r="D9" s="109" t="s">
        <v>125</v>
      </c>
      <c r="E9" s="113">
        <f>('[7]LOTFA'!N26)/1000000</f>
        <v>547.543</v>
      </c>
      <c r="F9" s="109" t="str">
        <f>'[7]ARTF'!A54</f>
        <v>United States</v>
      </c>
      <c r="G9" s="113">
        <f>'[7]ARTF'!B54</f>
        <v>921.99</v>
      </c>
      <c r="H9" s="95" t="s">
        <v>103</v>
      </c>
      <c r="I9" s="110">
        <v>0.315375</v>
      </c>
      <c r="J9" s="95" t="str">
        <f>'[7]ERF-2010'!E9</f>
        <v>Sweden</v>
      </c>
      <c r="K9" s="110">
        <f>'[7]ERF-2010'!F9</f>
        <v>3.45025</v>
      </c>
      <c r="L9" s="114" t="str">
        <f>'[7]CNTF'!A4</f>
        <v>United Kingdom</v>
      </c>
      <c r="M9" s="115">
        <f>('[7]CNTF'!D4)/1000000</f>
        <v>24.374807</v>
      </c>
    </row>
    <row r="10" spans="2:13" ht="15">
      <c r="B10" s="108" t="str">
        <f>'[7]ANA TF'!A5</f>
        <v>Australia</v>
      </c>
      <c r="C10" s="112">
        <f>('[7]ANA TF'!D5)/1000000</f>
        <v>45.47859228443346</v>
      </c>
      <c r="D10" s="109" t="s">
        <v>233</v>
      </c>
      <c r="E10" s="113">
        <f>('[7]LOTFA'!N12)/1000000</f>
        <v>373.80233285445064</v>
      </c>
      <c r="F10" s="109" t="str">
        <f>'[7]ARTF'!A55</f>
        <v>UK</v>
      </c>
      <c r="G10" s="113">
        <f>'[7]ARTF'!B55</f>
        <v>861.563</v>
      </c>
      <c r="H10" s="95" t="s">
        <v>229</v>
      </c>
      <c r="I10" s="110">
        <v>0.17</v>
      </c>
      <c r="J10" s="95" t="str">
        <f>'[7]ERF-2010'!E8</f>
        <v>Norway</v>
      </c>
      <c r="K10" s="110">
        <f>'[7]ERF-2010'!F8</f>
        <v>1.082261</v>
      </c>
      <c r="L10" s="114" t="str">
        <f>'[7]CNTF'!A5</f>
        <v>European Commission</v>
      </c>
      <c r="M10" s="115">
        <f>('[7]CNTF'!D5)/1000000</f>
        <v>16.481385</v>
      </c>
    </row>
    <row r="11" spans="2:13" ht="15">
      <c r="B11" s="108" t="str">
        <f>'[7]ANA TF'!A6</f>
        <v>Netherlands</v>
      </c>
      <c r="C11" s="112">
        <f>('[7]ANA TF'!D6)/1000000</f>
        <v>31.767229235559114</v>
      </c>
      <c r="D11" s="109" t="s">
        <v>114</v>
      </c>
      <c r="E11" s="113">
        <f>('[7]LOTFA'!N19)/1000000</f>
        <v>324.622896</v>
      </c>
      <c r="F11" s="109" t="str">
        <f>'[7]ARTF'!A56</f>
        <v>Canada</v>
      </c>
      <c r="G11" s="113">
        <f>'[7]ARTF'!B56</f>
        <v>495.182</v>
      </c>
      <c r="H11" s="95" t="s">
        <v>30</v>
      </c>
      <c r="I11" s="110">
        <v>0.37064</v>
      </c>
      <c r="J11" s="95" t="str">
        <f>'[7]ERF-2010'!E7</f>
        <v>Netherlands</v>
      </c>
      <c r="K11" s="110">
        <f>'[7]ERF-2010'!F7</f>
        <v>0.7</v>
      </c>
      <c r="L11" s="114" t="str">
        <f>'[7]CNTF'!A6</f>
        <v>United States</v>
      </c>
      <c r="M11" s="115">
        <f>('[7]CNTF'!D6)/1000000</f>
        <v>10.105915</v>
      </c>
    </row>
    <row r="12" spans="2:13" ht="15">
      <c r="B12" s="108" t="str">
        <f>'[7]ANA TF'!A7</f>
        <v>Norway</v>
      </c>
      <c r="C12" s="112">
        <f>('[7]ANA TF'!D7)/1000000</f>
        <v>23.094380672330452</v>
      </c>
      <c r="D12" s="109" t="str">
        <f>'[7]LOTFA'!A7</f>
        <v>Canada</v>
      </c>
      <c r="E12" s="113">
        <f>(('[7]LOTFA'!N7+'[7]LOTFA'!N8))/1000000</f>
        <v>91.59395620999999</v>
      </c>
      <c r="F12" s="109" t="str">
        <f>'[7]ARTF'!A57</f>
        <v>Netherlands</v>
      </c>
      <c r="G12" s="113">
        <f>'[7]ARTF'!B57</f>
        <v>355.47799999999995</v>
      </c>
      <c r="H12" s="95" t="s">
        <v>230</v>
      </c>
      <c r="I12" s="110">
        <v>0.124895</v>
      </c>
      <c r="J12" s="95" t="str">
        <f>'[7]ERF-2010'!E6</f>
        <v>Ireland</v>
      </c>
      <c r="K12" s="110">
        <f>'[7]ERF-2010'!F6</f>
        <v>0.612245</v>
      </c>
      <c r="L12" s="114" t="str">
        <f>'[7]CNTF'!A7</f>
        <v>Japan</v>
      </c>
      <c r="M12" s="115">
        <f>('[7]CNTF'!D7)/1000000</f>
        <v>5</v>
      </c>
    </row>
    <row r="13" spans="2:13" ht="15">
      <c r="B13" s="108" t="str">
        <f>'[7]ANA TF'!A8</f>
        <v>Luxembourg</v>
      </c>
      <c r="C13" s="112">
        <f>('[7]ANA TF'!D8)/1000000</f>
        <v>13.67115360818796</v>
      </c>
      <c r="D13" s="109" t="s">
        <v>110</v>
      </c>
      <c r="E13" s="113">
        <f>('[7]LOTFA'!N14)/1000000</f>
        <v>88.95624125</v>
      </c>
      <c r="F13" s="109" t="str">
        <f>'[7]ARTF'!A58</f>
        <v>EC</v>
      </c>
      <c r="G13" s="113">
        <f>'[7]ARTF'!B58</f>
        <v>329.58900000000006</v>
      </c>
      <c r="H13" s="95" t="s">
        <v>108</v>
      </c>
      <c r="I13" s="110">
        <v>0.1</v>
      </c>
      <c r="J13" s="95" t="str">
        <f>'[7]ERF-2010'!E5</f>
        <v>Australia</v>
      </c>
      <c r="K13" s="110">
        <f>'[7]ERF-2010'!F5</f>
        <v>0.422</v>
      </c>
      <c r="L13" s="114" t="str">
        <f>'[7]CNTF'!A8</f>
        <v>Canada</v>
      </c>
      <c r="M13" s="115">
        <f>('[7]CNTF'!D8)/1000000</f>
        <v>3.448798</v>
      </c>
    </row>
    <row r="14" spans="2:13" ht="15">
      <c r="B14" s="108" t="str">
        <f>'[7]ANA TF'!A9</f>
        <v>Japan </v>
      </c>
      <c r="C14" s="112">
        <f>('[7]ANA TF'!D9)/1000000</f>
        <v>11.914749126272346</v>
      </c>
      <c r="D14" s="109" t="s">
        <v>117</v>
      </c>
      <c r="E14" s="113">
        <f>('[7]LOTFA'!N21)/1000000</f>
        <v>68.54388226842106</v>
      </c>
      <c r="F14" s="109" t="str">
        <f>'[7]ARTF'!A59</f>
        <v>Germany</v>
      </c>
      <c r="G14" s="113">
        <f>'[7]ARTF'!B59</f>
        <v>239.99599999999998</v>
      </c>
      <c r="H14" s="95" t="s">
        <v>128</v>
      </c>
      <c r="I14" s="110">
        <v>0.042</v>
      </c>
      <c r="L14" s="114" t="str">
        <f>'[7]CNTF'!A9</f>
        <v>Sweden</v>
      </c>
      <c r="M14" s="115">
        <f>('[7]CNTF'!D9)/1000000</f>
        <v>2</v>
      </c>
    </row>
    <row r="15" spans="2:13" ht="15">
      <c r="B15" s="108" t="str">
        <f>'[7]ANA TF'!A10</f>
        <v>United Kingdom</v>
      </c>
      <c r="C15" s="112">
        <f>('[7]ANA TF'!D10)/1000000</f>
        <v>6.381566873133353</v>
      </c>
      <c r="D15" s="109" t="s">
        <v>124</v>
      </c>
      <c r="E15" s="113">
        <f>(SUM('[7]LOTFA'!N25+'[7]LOTFA'!N11))/1000000</f>
        <v>33.68668933217391</v>
      </c>
      <c r="F15" s="109" t="str">
        <f>'[7]ARTF'!A60</f>
        <v>Norway</v>
      </c>
      <c r="G15" s="113">
        <f>'[7]ARTF'!B60</f>
        <v>192.925</v>
      </c>
      <c r="H15" s="95" t="s">
        <v>129</v>
      </c>
      <c r="I15" s="110">
        <v>0.15</v>
      </c>
      <c r="L15" s="114" t="str">
        <f>'[7]CNTF'!A10</f>
        <v>Italy</v>
      </c>
      <c r="M15" s="115">
        <f>('[7]CNTF'!D10)/1000000</f>
        <v>1.965191</v>
      </c>
    </row>
    <row r="16" spans="2:13" ht="15">
      <c r="B16" s="108" t="str">
        <f>'[7]ANA TF'!A11</f>
        <v>Denmark </v>
      </c>
      <c r="C16" s="112">
        <f>('[7]ANA TF'!D11)/1000000</f>
        <v>5.973925851819744</v>
      </c>
      <c r="D16" s="109" t="str">
        <f>'[7]LOTFA'!A4</f>
        <v>ARTF </v>
      </c>
      <c r="E16" s="113">
        <f>('[7]LOTFA'!N4)/1000000</f>
        <v>21.63636</v>
      </c>
      <c r="F16" s="109" t="str">
        <f>'[7]ARTF'!A61</f>
        <v>Sweden</v>
      </c>
      <c r="G16" s="113">
        <f>'[7]ARTF'!B61</f>
        <v>147.212</v>
      </c>
      <c r="H16" s="95" t="s">
        <v>113</v>
      </c>
      <c r="I16" s="110">
        <v>0.3</v>
      </c>
      <c r="L16" s="114" t="str">
        <f>'[7]CNTF'!A11</f>
        <v>Australia</v>
      </c>
      <c r="M16" s="115">
        <f>('[7]CNTF'!D11)/1000000</f>
        <v>1.526718</v>
      </c>
    </row>
    <row r="17" spans="2:13" ht="15">
      <c r="B17" s="108" t="str">
        <f>'[7]ANA TF'!A12</f>
        <v>Spain</v>
      </c>
      <c r="C17" s="112">
        <f>('[7]ANA TF'!D12)/1000000</f>
        <v>5.622518448771524</v>
      </c>
      <c r="D17" s="109" t="s">
        <v>119</v>
      </c>
      <c r="E17" s="113">
        <f>('[7]LOTFA'!N22)/1000000</f>
        <v>18.531837</v>
      </c>
      <c r="F17" s="109" t="str">
        <f>'[7]ARTF'!A62</f>
        <v>Australia</v>
      </c>
      <c r="G17" s="113">
        <f>'[7]ARTF'!B62</f>
        <v>93.454</v>
      </c>
      <c r="H17" s="95" t="s">
        <v>231</v>
      </c>
      <c r="I17" s="110">
        <v>0.063763</v>
      </c>
      <c r="L17" s="114" t="str">
        <f>'[7]CNTF'!A12</f>
        <v>UNDP</v>
      </c>
      <c r="M17" s="115">
        <f>('[7]CNTF'!D12)/1000000</f>
        <v>1.362721</v>
      </c>
    </row>
    <row r="18" spans="2:13" ht="15">
      <c r="B18" s="108" t="str">
        <f>'[7]ANA TF'!A13</f>
        <v>Italy</v>
      </c>
      <c r="C18" s="112">
        <f>('[7]ANA TF'!D13)/1000000</f>
        <v>4.357451797797931</v>
      </c>
      <c r="D18" s="109" t="s">
        <v>108</v>
      </c>
      <c r="E18" s="113">
        <f>('[7]LOTFA'!N13)/1000000</f>
        <v>6.460712424081633</v>
      </c>
      <c r="F18" s="109" t="str">
        <f>'[7]ARTF'!A63</f>
        <v>Italy</v>
      </c>
      <c r="G18" s="113">
        <f>'[7]ARTF'!B63</f>
        <v>80.97999999999999</v>
      </c>
      <c r="H18" s="95" t="s">
        <v>116</v>
      </c>
      <c r="I18" s="110">
        <v>0.1</v>
      </c>
      <c r="L18" s="114" t="str">
        <f>'[7]CNTF'!A13</f>
        <v>Greece</v>
      </c>
      <c r="M18" s="115">
        <f>('[7]CNTF'!D13)/1000000</f>
        <v>0.442478</v>
      </c>
    </row>
    <row r="19" spans="2:13" ht="15">
      <c r="B19" s="108" t="str">
        <f>'[7]ANA TF'!A14</f>
        <v>Turkey </v>
      </c>
      <c r="C19" s="112">
        <f>('[7]ANA TF'!D14)/1000000</f>
        <v>2.1084444182893214</v>
      </c>
      <c r="D19" s="109" t="s">
        <v>113</v>
      </c>
      <c r="E19" s="113">
        <f>('[7]LOTFA'!N18)/1000000</f>
        <v>5.059983507564766</v>
      </c>
      <c r="F19" s="109" t="str">
        <f>'[7]ARTF'!A64</f>
        <v>Denmark</v>
      </c>
      <c r="G19" s="113">
        <f>'[7]ARTF'!B64</f>
        <v>60.961</v>
      </c>
      <c r="H19" s="95" t="s">
        <v>117</v>
      </c>
      <c r="I19" s="110">
        <v>0.3</v>
      </c>
      <c r="L19" s="114" t="str">
        <f>'[7]CNTF'!A14</f>
        <v>New Zealand</v>
      </c>
      <c r="M19" s="115">
        <f>('[7]CNTF'!D14)/1000000</f>
        <v>0.352609</v>
      </c>
    </row>
    <row r="20" spans="2:13" ht="15">
      <c r="B20" s="108" t="str">
        <f>'[7]ANA TF'!A15</f>
        <v>Finland </v>
      </c>
      <c r="C20" s="112">
        <f>('[7]ANA TF'!D15)/1000000</f>
        <v>1.5461925734121693</v>
      </c>
      <c r="D20" s="109" t="str">
        <f>'[7]LOTFA'!A5</f>
        <v>Australia </v>
      </c>
      <c r="E20" s="113">
        <f>('[7]LOTFA'!N5)/1000000</f>
        <v>3.4697734000000002</v>
      </c>
      <c r="F20" s="109" t="str">
        <f>'[7]ARTF'!A65</f>
        <v>Spain</v>
      </c>
      <c r="G20" s="113">
        <f>'[7]ARTF'!B65</f>
        <v>57.257999999999996</v>
      </c>
      <c r="H20" s="95" t="s">
        <v>31</v>
      </c>
      <c r="I20" s="110">
        <v>0.15</v>
      </c>
      <c r="L20" s="114" t="str">
        <f>'[7]CNTF'!A15</f>
        <v>Spain</v>
      </c>
      <c r="M20" s="115">
        <f>('[7]CNTF'!D15)/1000000</f>
        <v>0.336022</v>
      </c>
    </row>
    <row r="21" spans="2:13" ht="15">
      <c r="B21" s="108" t="str">
        <f>'[7]ANA TF'!A16</f>
        <v>Sweden</v>
      </c>
      <c r="C21" s="112">
        <f>('[7]ANA TF'!D16)/1000000</f>
        <v>1.2090705841126652</v>
      </c>
      <c r="D21" s="109" t="s">
        <v>107</v>
      </c>
      <c r="E21" s="113">
        <f>('[7]LOTFA'!N10)/1000000</f>
        <v>3.459223</v>
      </c>
      <c r="F21" s="109" t="str">
        <f>'[7]ARTF'!A66</f>
        <v>Finland</v>
      </c>
      <c r="G21" s="113">
        <f>'[7]ARTF'!B66</f>
        <v>43.602</v>
      </c>
      <c r="H21" s="95" t="s">
        <v>125</v>
      </c>
      <c r="I21" s="110">
        <v>1.3</v>
      </c>
      <c r="L21" s="114" t="str">
        <f>'[7]CNTF'!A16</f>
        <v>Korea</v>
      </c>
      <c r="M21" s="115">
        <f>('[7]CNTF'!D16)/1000000</f>
        <v>0.2</v>
      </c>
    </row>
    <row r="22" spans="2:13" ht="15">
      <c r="B22" s="108" t="str">
        <f>'[7]ANA TF'!A17</f>
        <v>Czech republic</v>
      </c>
      <c r="C22" s="112">
        <f>('[7]ANA TF'!D17)/1000000</f>
        <v>0.3997666842261042</v>
      </c>
      <c r="D22" s="109" t="s">
        <v>123</v>
      </c>
      <c r="E22" s="113">
        <f>('[7]LOTFA'!N23)/1000000</f>
        <v>3.373722</v>
      </c>
      <c r="F22" s="109" t="str">
        <f>'[7]ARTF'!A67</f>
        <v>Saudi Arabia</v>
      </c>
      <c r="G22" s="113">
        <f>'[7]ARTF'!B67</f>
        <v>25</v>
      </c>
      <c r="L22" s="114" t="str">
        <f>'[7]CNTF'!A17</f>
        <v>Poland</v>
      </c>
      <c r="M22" s="115">
        <f>('[7]CNTF'!D17)/1000000</f>
        <v>0.1</v>
      </c>
    </row>
    <row r="23" spans="2:13" ht="15">
      <c r="B23" s="108" t="str">
        <f>'[7]ANA TF'!A18</f>
        <v>Slovenia</v>
      </c>
      <c r="C23" s="112">
        <f>('[7]ANA TF'!D18)/1000000</f>
        <v>0.3232948108043626</v>
      </c>
      <c r="D23" s="109" t="s">
        <v>158</v>
      </c>
      <c r="E23" s="113">
        <f>('[7]LOTFA'!N24)/1000000</f>
        <v>1.7315</v>
      </c>
      <c r="F23" s="109" t="str">
        <f>'[7]ARTF'!A68</f>
        <v>Kuwait</v>
      </c>
      <c r="G23" s="113">
        <f>'[7]ARTF'!B68</f>
        <v>15</v>
      </c>
      <c r="L23" s="114" t="str">
        <f>'[7]CNTF'!A18</f>
        <v>Iceland</v>
      </c>
      <c r="M23" s="115">
        <f>('[7]CNTF'!D18)/1000000</f>
        <v>0.1</v>
      </c>
    </row>
    <row r="24" spans="2:13" ht="15">
      <c r="B24" s="108" t="str">
        <f>'[7]ANA TF'!A19</f>
        <v>Bulgaria</v>
      </c>
      <c r="C24" s="112">
        <f>('[7]ANA TF'!D19)/1000000</f>
        <v>0.22490073795086096</v>
      </c>
      <c r="D24" s="109" t="str">
        <f>'[7]LOTFA'!A6</f>
        <v>Belgium</v>
      </c>
      <c r="E24" s="113">
        <f>('[7]LOTFA'!N6)/1000000</f>
        <v>0.712651</v>
      </c>
      <c r="F24" s="109" t="str">
        <f>'[7]ARTF'!A69</f>
        <v>Ireland</v>
      </c>
      <c r="G24" s="113">
        <f>'[7]ARTF'!B69</f>
        <v>14.75</v>
      </c>
      <c r="L24" s="114" t="str">
        <f>'[7]CNTF'!A19</f>
        <v>Estonia</v>
      </c>
      <c r="M24" s="115">
        <f>('[7]CNTF'!D19)/1000000</f>
        <v>0.05</v>
      </c>
    </row>
    <row r="25" spans="2:13" ht="15">
      <c r="B25" s="108" t="str">
        <f>'[7]ANA TF'!A20</f>
        <v>Switzerland</v>
      </c>
      <c r="C25" s="112">
        <f>('[7]ANA TF'!D20)/1000000</f>
        <v>0.18430334349150618</v>
      </c>
      <c r="D25" s="109" t="s">
        <v>112</v>
      </c>
      <c r="E25" s="113">
        <f>('[7]LOTFA'!N17)/1000000</f>
        <v>0.535715</v>
      </c>
      <c r="F25" s="109" t="str">
        <f>'[7]ARTF'!A70</f>
        <v>France</v>
      </c>
      <c r="G25" s="113">
        <f>'[7]ARTF'!B70</f>
        <v>10.853</v>
      </c>
      <c r="L25" s="114" t="str">
        <f>'[7]CNTF'!A20</f>
        <v>Latvia</v>
      </c>
      <c r="M25" s="115">
        <f>('[7]CNTF'!D20)/1000000</f>
        <v>0.02</v>
      </c>
    </row>
    <row r="26" spans="2:13" ht="15">
      <c r="B26" s="108" t="str">
        <f>'[7]ANA TF'!A21</f>
        <v>Estonia</v>
      </c>
      <c r="C26" s="112">
        <f>('[7]ANA TF'!D21)/1000000</f>
        <v>0.07028148060964406</v>
      </c>
      <c r="D26" s="109" t="s">
        <v>30</v>
      </c>
      <c r="E26" s="113">
        <f>('[7]LOTFA'!N9)/1000000</f>
        <v>0.150602</v>
      </c>
      <c r="F26" s="109" t="str">
        <f>'[7]ARTF'!A71</f>
        <v>Luxembourg</v>
      </c>
      <c r="G26" s="113">
        <f>'[7]ARTF'!B71</f>
        <v>6.519</v>
      </c>
      <c r="L26" s="114" t="str">
        <f>'[7]CNTF'!A21</f>
        <v>Cyprus</v>
      </c>
      <c r="M26" s="115">
        <f>('[7]CNTF'!D21)/1000000</f>
        <v>0.01</v>
      </c>
    </row>
    <row r="27" spans="2:7" ht="15">
      <c r="B27" s="108" t="str">
        <f>'[7]ANA TF'!A22</f>
        <v>Lithuania</v>
      </c>
      <c r="C27" s="112">
        <f>('[7]ANA TF'!D22)/1000000</f>
        <v>0.05622518448771524</v>
      </c>
      <c r="D27" s="109" t="s">
        <v>128</v>
      </c>
      <c r="E27" s="113">
        <f>('[7]LOTFA'!N15)/1000000</f>
        <v>0.13</v>
      </c>
      <c r="F27" s="109" t="str">
        <f>'[7]ARTF'!A72</f>
        <v>Korea, Republic of</v>
      </c>
      <c r="G27" s="113">
        <f>'[7]ARTF'!B72</f>
        <v>6</v>
      </c>
    </row>
    <row r="28" spans="4:7" ht="15">
      <c r="D28" s="109" t="s">
        <v>129</v>
      </c>
      <c r="E28" s="113">
        <f>('[7]LOTFA'!N16)/1000000</f>
        <v>0.1</v>
      </c>
      <c r="F28" s="109" t="str">
        <f>'[7]ARTF'!A73</f>
        <v>Belgium</v>
      </c>
      <c r="G28" s="113">
        <f>'[7]ARTF'!B73</f>
        <v>5.3260000000000005</v>
      </c>
    </row>
    <row r="29" spans="4:7" ht="15">
      <c r="D29" s="109" t="s">
        <v>296</v>
      </c>
      <c r="E29" s="113">
        <f>('[7]LOTFA'!N20)/1000000</f>
        <v>0.02</v>
      </c>
      <c r="F29" s="109" t="str">
        <f>'[7]ARTF'!A74</f>
        <v>Japan</v>
      </c>
      <c r="G29" s="113">
        <f>'[7]ARTF'!B74</f>
        <v>5</v>
      </c>
    </row>
    <row r="30" spans="6:7" ht="15">
      <c r="F30" s="109" t="str">
        <f>'[7]ARTF'!A75</f>
        <v>Russia</v>
      </c>
      <c r="G30" s="113">
        <f>'[7]ARTF'!B75</f>
        <v>4</v>
      </c>
    </row>
    <row r="31" spans="6:7" ht="15">
      <c r="F31" s="109" t="str">
        <f>'[7]ARTF'!A76</f>
        <v>Poland</v>
      </c>
      <c r="G31" s="113">
        <f>'[7]ARTF'!B76</f>
        <v>2.931</v>
      </c>
    </row>
    <row r="32" spans="6:7" ht="15">
      <c r="F32" s="109" t="str">
        <f>'[7]ARTF'!A77</f>
        <v>UNDP</v>
      </c>
      <c r="G32" s="113">
        <f>'[7]ARTF'!B77</f>
        <v>2.41</v>
      </c>
    </row>
    <row r="33" spans="6:7" ht="15">
      <c r="F33" s="109" t="str">
        <f>'[7]ARTF'!A78</f>
        <v>India</v>
      </c>
      <c r="G33" s="113">
        <f>'[7]ARTF'!B78</f>
        <v>1.593</v>
      </c>
    </row>
    <row r="34" spans="6:7" ht="15">
      <c r="F34" s="109" t="str">
        <f>'[7]ARTF'!A79</f>
        <v>Portugal</v>
      </c>
      <c r="G34" s="113">
        <f>'[7]ARTF'!B79</f>
        <v>1.19</v>
      </c>
    </row>
    <row r="35" spans="6:7" ht="15">
      <c r="F35" s="109" t="str">
        <f>'[7]ARTF'!A80</f>
        <v>Iran, Islamic Republic of</v>
      </c>
      <c r="G35" s="113">
        <f>'[7]ARTF'!B80</f>
        <v>0.99</v>
      </c>
    </row>
    <row r="36" spans="6:7" ht="15">
      <c r="F36" s="109" t="str">
        <f>'[7]ARTF'!A81</f>
        <v>Switzerland</v>
      </c>
      <c r="G36" s="113">
        <f>'[7]ARTF'!B81</f>
        <v>0.67</v>
      </c>
    </row>
    <row r="37" spans="6:7" ht="15">
      <c r="F37" s="109" t="str">
        <f>'[7]ARTF'!A82</f>
        <v>New Zealand</v>
      </c>
      <c r="G37" s="113">
        <f>'[7]ARTF'!B82</f>
        <v>0.628</v>
      </c>
    </row>
    <row r="38" spans="6:7" ht="15">
      <c r="F38" s="109" t="str">
        <f>'[7]ARTF'!A83</f>
        <v>Bahrain</v>
      </c>
      <c r="G38" s="113">
        <f>'[7]ARTF'!B83</f>
        <v>0.5</v>
      </c>
    </row>
    <row r="39" spans="6:7" ht="15">
      <c r="F39" s="109" t="str">
        <f>'[7]ARTF'!A84</f>
        <v>Turkey</v>
      </c>
      <c r="G39" s="113">
        <f>'[7]ARTF'!B84</f>
        <v>0.5</v>
      </c>
    </row>
    <row r="40" spans="6:7" ht="15">
      <c r="F40" s="109" t="str">
        <f>'[7]ARTF'!A85</f>
        <v>Brazil</v>
      </c>
      <c r="G40" s="113">
        <f>'[7]ARTF'!B85</f>
        <v>0.2</v>
      </c>
    </row>
  </sheetData>
  <sheetProtection/>
  <mergeCells count="22">
    <mergeCell ref="B1:C1"/>
    <mergeCell ref="D1:G1"/>
    <mergeCell ref="H1:K1"/>
    <mergeCell ref="L1:M1"/>
    <mergeCell ref="B2:C2"/>
    <mergeCell ref="D2:G2"/>
    <mergeCell ref="H2:K2"/>
    <mergeCell ref="L2:M3"/>
    <mergeCell ref="B3:C3"/>
    <mergeCell ref="D3:E3"/>
    <mergeCell ref="F3:G3"/>
    <mergeCell ref="B4:C4"/>
    <mergeCell ref="D4:E4"/>
    <mergeCell ref="F4:G4"/>
    <mergeCell ref="H4:I4"/>
    <mergeCell ref="L4:M4"/>
    <mergeCell ref="J4:K4"/>
    <mergeCell ref="B5:C5"/>
    <mergeCell ref="D5:E5"/>
    <mergeCell ref="F5:G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00"/>
  <sheetViews>
    <sheetView zoomScalePageLayoutView="0" workbookViewId="0" topLeftCell="B1">
      <selection activeCell="G4" sqref="G4"/>
    </sheetView>
  </sheetViews>
  <sheetFormatPr defaultColWidth="9.140625" defaultRowHeight="15"/>
  <cols>
    <col min="1" max="1" width="20.8515625" style="0" customWidth="1"/>
    <col min="2" max="2" width="0.9921875" style="0" customWidth="1"/>
    <col min="3" max="3" width="10.8515625" style="0" customWidth="1"/>
    <col min="4" max="4" width="11.8515625" style="0" customWidth="1"/>
    <col min="5" max="5" width="9.00390625" style="0" customWidth="1"/>
    <col min="6" max="6" width="1.1484375" style="0" customWidth="1"/>
    <col min="7" max="7" width="12.00390625" style="0" customWidth="1"/>
    <col min="8" max="8" width="12.421875" style="0" customWidth="1"/>
    <col min="9" max="9" width="11.00390625" style="0" customWidth="1"/>
    <col min="10" max="10" width="11.421875" style="0" customWidth="1"/>
    <col min="11" max="11" width="1.28515625" style="0" customWidth="1"/>
    <col min="12" max="12" width="9.140625" style="0" customWidth="1"/>
    <col min="13" max="13" width="14.28125" style="0" customWidth="1"/>
    <col min="14" max="14" width="13.28125" style="0" customWidth="1"/>
    <col min="15" max="15" width="12.140625" style="0" customWidth="1"/>
    <col min="16" max="16" width="11.57421875" style="0" customWidth="1"/>
    <col min="17" max="17" width="0.9921875" style="0" customWidth="1"/>
    <col min="18" max="19" width="11.00390625" style="0" customWidth="1"/>
  </cols>
  <sheetData>
    <row r="1" ht="7.5" customHeight="1"/>
    <row r="2" spans="1:20" ht="122.25" customHeight="1">
      <c r="A2" s="185"/>
      <c r="C2" s="117" t="s">
        <v>311</v>
      </c>
      <c r="D2" s="117" t="s">
        <v>312</v>
      </c>
      <c r="E2" s="117" t="s">
        <v>310</v>
      </c>
      <c r="G2" s="146" t="s">
        <v>369</v>
      </c>
      <c r="H2" s="146" t="s">
        <v>266</v>
      </c>
      <c r="I2" s="146" t="s">
        <v>263</v>
      </c>
      <c r="J2" s="146" t="s">
        <v>370</v>
      </c>
      <c r="L2" s="143" t="s">
        <v>314</v>
      </c>
      <c r="M2" s="143" t="s">
        <v>260</v>
      </c>
      <c r="N2" s="143" t="s">
        <v>261</v>
      </c>
      <c r="O2" s="143" t="s">
        <v>262</v>
      </c>
      <c r="P2" s="143" t="s">
        <v>268</v>
      </c>
      <c r="R2" s="148" t="s">
        <v>267</v>
      </c>
      <c r="S2" s="148" t="s">
        <v>271</v>
      </c>
      <c r="T2" s="148" t="s">
        <v>269</v>
      </c>
    </row>
    <row r="3" spans="1:20" ht="15">
      <c r="A3" s="185"/>
      <c r="C3" s="182" t="s">
        <v>367</v>
      </c>
      <c r="D3" s="182" t="s">
        <v>367</v>
      </c>
      <c r="E3" s="182" t="s">
        <v>265</v>
      </c>
      <c r="G3" s="146" t="s">
        <v>367</v>
      </c>
      <c r="H3" s="146" t="s">
        <v>367</v>
      </c>
      <c r="I3" s="146" t="s">
        <v>367</v>
      </c>
      <c r="J3" s="146" t="s">
        <v>265</v>
      </c>
      <c r="L3" s="147" t="s">
        <v>367</v>
      </c>
      <c r="M3" s="147" t="s">
        <v>367</v>
      </c>
      <c r="N3" s="147" t="s">
        <v>367</v>
      </c>
      <c r="O3" s="147" t="s">
        <v>367</v>
      </c>
      <c r="P3" s="143" t="s">
        <v>265</v>
      </c>
      <c r="R3" s="149"/>
      <c r="S3" s="149"/>
      <c r="T3" s="148" t="s">
        <v>368</v>
      </c>
    </row>
    <row r="4" spans="1:20" ht="15">
      <c r="A4" s="185" t="s">
        <v>125</v>
      </c>
      <c r="C4" s="209">
        <v>38000</v>
      </c>
      <c r="D4" s="209">
        <v>28366</v>
      </c>
      <c r="E4" s="181">
        <f>G4/C4</f>
        <v>0.28752815789473685</v>
      </c>
      <c r="G4" s="212">
        <f>SUM('[3]ODA-excl-debt-current'!$AS$37:$AZ$37)</f>
        <v>10926.07</v>
      </c>
      <c r="H4" s="212">
        <f>'[5]Imputed-mutilat-ODA-current'!$N$37</f>
        <v>278.05</v>
      </c>
      <c r="I4" s="212">
        <f>G4+H4</f>
        <v>11204.119999999999</v>
      </c>
      <c r="J4" s="150">
        <f>G4/('3.Aid'!$J$5*1000)</f>
        <v>0.40914642124968525</v>
      </c>
      <c r="L4" s="215">
        <f>'[7]ARTF'!$M$36</f>
        <v>508.99</v>
      </c>
      <c r="M4" s="215">
        <f>('[7]LOTFA'!$M$26)/1000000</f>
        <v>323.1</v>
      </c>
      <c r="N4" s="215">
        <f>('[7]CNTF'!$D$6)/1000000</f>
        <v>10.105915</v>
      </c>
      <c r="O4" s="142">
        <f aca="true" t="shared" si="0" ref="O4:O49">SUM(L4:N4)</f>
        <v>842.195915</v>
      </c>
      <c r="P4" s="144">
        <f aca="true" t="shared" si="1" ref="P4:P46">O4/G4</f>
        <v>0.07708132155477679</v>
      </c>
      <c r="R4" s="151">
        <f>'[1]Troop-Contributions-Oct-2010'!$B$6</f>
        <v>90000</v>
      </c>
      <c r="S4" s="155">
        <f>R4/'[1]Troop-Contributions-Oct-2010'!$C$1</f>
        <v>0.6900147203140333</v>
      </c>
      <c r="T4" s="153">
        <f>SUM('[1]Military Ops'!$C$4:$J$4)</f>
        <v>201.37499999999997</v>
      </c>
    </row>
    <row r="5" spans="1:20" ht="15">
      <c r="A5" s="185" t="s">
        <v>233</v>
      </c>
      <c r="C5" s="209">
        <v>2037</v>
      </c>
      <c r="D5" s="209">
        <v>1973</v>
      </c>
      <c r="E5" s="181">
        <f>G5/C5</f>
        <v>1.0276877761413845</v>
      </c>
      <c r="G5" s="212">
        <f>SUM('[3]ODA-excl-debt-current'!$AS$38:$AZ$38)</f>
        <v>2093.4</v>
      </c>
      <c r="H5" s="212">
        <f>'[5]Imputed-mutilat-ODA-current'!$N$38</f>
        <v>23.5</v>
      </c>
      <c r="I5" s="212">
        <f aca="true" t="shared" si="2" ref="I5:I39">G5+H5</f>
        <v>2116.9</v>
      </c>
      <c r="J5" s="150">
        <f>G5/('3.Aid'!$J$5*1000)</f>
        <v>0.07839114322387566</v>
      </c>
      <c r="L5" s="215">
        <f>'[7]ARTF'!$M$11</f>
        <v>316.15650000000005</v>
      </c>
      <c r="M5" s="215">
        <f>('[7]LOTFA'!$M$12)/1000000</f>
        <v>317.51468225445063</v>
      </c>
      <c r="N5" s="215">
        <f>('[7]CNTF'!$D$5)/1000000</f>
        <v>16.481385</v>
      </c>
      <c r="O5" s="142">
        <f t="shared" si="0"/>
        <v>650.1525672544508</v>
      </c>
      <c r="P5" s="144">
        <f t="shared" si="1"/>
        <v>0.3105725457411153</v>
      </c>
      <c r="R5" s="152">
        <v>0</v>
      </c>
      <c r="S5" s="152">
        <v>0</v>
      </c>
      <c r="T5" s="152">
        <v>0</v>
      </c>
    </row>
    <row r="6" spans="1:20" ht="15">
      <c r="A6" s="185" t="s">
        <v>124</v>
      </c>
      <c r="C6" s="209">
        <v>2897</v>
      </c>
      <c r="D6" s="209">
        <v>1810</v>
      </c>
      <c r="E6" s="181">
        <f>G6/C6</f>
        <v>0.6334967207455988</v>
      </c>
      <c r="G6" s="212">
        <f>SUM('[3]ODA-excl-debt-current'!$AS$36:$AZ$36)</f>
        <v>1835.2399999999998</v>
      </c>
      <c r="H6" s="212">
        <f>'[5]Imputed-mutilat-ODA-current'!$N$36</f>
        <v>522.21</v>
      </c>
      <c r="I6" s="212">
        <f t="shared" si="2"/>
        <v>2357.45</v>
      </c>
      <c r="J6" s="150">
        <f>G6/('3.Aid'!$J$5*1000)</f>
        <v>0.06872387584321465</v>
      </c>
      <c r="L6" s="215">
        <f>'[7]ARTF'!$M$35</f>
        <v>763.5555</v>
      </c>
      <c r="M6" s="215">
        <f>('[7]LOTFA'!$M$11+'[7]LOTFA'!$M$25)/1000000</f>
        <v>20.393637972173913</v>
      </c>
      <c r="N6" s="215">
        <f>('[7]CNTF'!$D$4)/1000000</f>
        <v>24.374807</v>
      </c>
      <c r="O6" s="142">
        <f t="shared" si="0"/>
        <v>808.323944972174</v>
      </c>
      <c r="P6" s="144">
        <f t="shared" si="1"/>
        <v>0.4404459062423302</v>
      </c>
      <c r="R6" s="151">
        <f>'[1]Troop-Contributions-Oct-2010'!$B$7</f>
        <v>9500</v>
      </c>
      <c r="S6" s="155">
        <f>R6/'[1]Troop-Contributions-Oct-2010'!$C$1</f>
        <v>0.07283488714425908</v>
      </c>
      <c r="T6" s="153">
        <f>SUM('[1]Military Ops'!$C$7:$J$7)</f>
        <v>15.530069645068231</v>
      </c>
    </row>
    <row r="7" spans="1:20" ht="15">
      <c r="A7" s="185" t="s">
        <v>110</v>
      </c>
      <c r="C7" s="209">
        <v>1188</v>
      </c>
      <c r="D7" s="209">
        <v>1044</v>
      </c>
      <c r="E7" s="181">
        <f>G7/C7</f>
        <v>1.07996632996633</v>
      </c>
      <c r="G7" s="212">
        <f>SUM('[3]ODA-excl-debt-current'!$AS$22:$AZ$22)</f>
        <v>1283</v>
      </c>
      <c r="H7" s="212">
        <f>'[5]Imputed-mutilat-ODA-current'!$N$22</f>
        <v>638.0200000000001</v>
      </c>
      <c r="I7" s="212">
        <f t="shared" si="2"/>
        <v>1921.02</v>
      </c>
      <c r="J7" s="150">
        <f>G7/('3.Aid'!$J$5*1000)</f>
        <v>0.04804425181820602</v>
      </c>
      <c r="L7" s="215">
        <f>'[7]ARTF'!$M$14</f>
        <v>201.8585</v>
      </c>
      <c r="M7" s="215">
        <f>('[7]LOTFA'!$M$14)/1000000</f>
        <v>47.95624125</v>
      </c>
      <c r="N7" s="215">
        <v>0</v>
      </c>
      <c r="O7" s="142">
        <f t="shared" si="0"/>
        <v>249.81474125</v>
      </c>
      <c r="P7" s="144">
        <f>O7/G7</f>
        <v>0.19471141173031956</v>
      </c>
      <c r="R7" s="151">
        <f>'[1]Troop-Contributions-Oct-2010'!$B$8</f>
        <v>4388</v>
      </c>
      <c r="S7" s="155">
        <f>R7/'[1]Troop-Contributions-Oct-2010'!$C$1</f>
        <v>0.033642051030421984</v>
      </c>
      <c r="T7" s="153">
        <f>SUM('[1]Military Ops'!$C$12:$J$12)</f>
        <v>4.1923367856156695</v>
      </c>
    </row>
    <row r="8" spans="1:20" ht="15">
      <c r="A8" s="185" t="s">
        <v>106</v>
      </c>
      <c r="C8" s="209">
        <v>1679</v>
      </c>
      <c r="D8" s="209">
        <v>1206</v>
      </c>
      <c r="E8" s="181">
        <f>G8/C8</f>
        <v>0.7032459797498511</v>
      </c>
      <c r="G8" s="212">
        <f>SUM('[3]ODA-excl-debt-current'!$AS$18:$AZ$18)</f>
        <v>1180.75</v>
      </c>
      <c r="H8" s="212">
        <f>'[5]Imputed-mutilat-ODA-current'!$N$18</f>
        <v>79.97</v>
      </c>
      <c r="I8" s="212">
        <f t="shared" si="2"/>
        <v>1260.72</v>
      </c>
      <c r="J8" s="150">
        <f>G8/('3.Aid'!$J$5*1000)</f>
        <v>0.044215315927004485</v>
      </c>
      <c r="L8" s="215">
        <f>'[7]ARTF'!$M$9</f>
        <v>442.867</v>
      </c>
      <c r="M8" s="215">
        <f>('[7]LOTFA'!$M$7)/1000000</f>
        <v>71.31321265999999</v>
      </c>
      <c r="N8" s="215">
        <f>('[7]CNTF'!$D$8)/1000000</f>
        <v>3.448798</v>
      </c>
      <c r="O8" s="142">
        <f t="shared" si="0"/>
        <v>517.6290106600001</v>
      </c>
      <c r="P8" s="144">
        <f t="shared" si="1"/>
        <v>0.4383900153800551</v>
      </c>
      <c r="R8" s="151">
        <f>'[1]Troop-Contributions-Oct-2010'!$B$11</f>
        <v>2922</v>
      </c>
      <c r="S8" s="155">
        <f>R8/'[1]Troop-Contributions-Oct-2010'!$C$1</f>
        <v>0.02240247791952895</v>
      </c>
      <c r="T8" s="153">
        <f>SUM('[1]Military Ops'!$C$10:$J$10)</f>
        <v>7.25161649798962</v>
      </c>
    </row>
    <row r="9" spans="1:20" ht="15">
      <c r="A9" s="185" t="s">
        <v>114</v>
      </c>
      <c r="C9" s="209">
        <v>1900</v>
      </c>
      <c r="D9" s="209">
        <v>1378</v>
      </c>
      <c r="E9" s="181">
        <f>G9/C9</f>
        <v>0.5245736842105263</v>
      </c>
      <c r="G9" s="212">
        <f>SUM('[3]ODA-excl-debt-current'!$AS$26:$AZ$26)</f>
        <v>996.6899999999999</v>
      </c>
      <c r="H9" s="212">
        <f>'[5]Imputed-mutilat-ODA-current'!$N$26</f>
        <v>362.05999999999995</v>
      </c>
      <c r="I9" s="212">
        <f t="shared" si="2"/>
        <v>1358.75</v>
      </c>
      <c r="J9" s="150">
        <f>G9/('3.Aid'!$J$5*1000)</f>
        <v>0.037322856854783905</v>
      </c>
      <c r="L9" s="215">
        <f>'[7]ARTF'!$M$19</f>
        <v>5</v>
      </c>
      <c r="M9" s="215">
        <f>('[7]LOTFA'!$M$19)/1000000</f>
        <v>144.622896</v>
      </c>
      <c r="N9" s="215">
        <f>('[7]CNTF'!$D$7)/1000000</f>
        <v>5</v>
      </c>
      <c r="O9" s="142">
        <f t="shared" si="0"/>
        <v>154.622896</v>
      </c>
      <c r="P9" s="144">
        <f>O9/G9</f>
        <v>0.1551363974756444</v>
      </c>
      <c r="R9" s="151">
        <v>0</v>
      </c>
      <c r="S9" s="155">
        <f>R9/'[1]Troop-Contributions-Oct-2010'!$C$1</f>
        <v>0</v>
      </c>
      <c r="T9" s="154" t="s">
        <v>270</v>
      </c>
    </row>
    <row r="10" spans="1:20" ht="15">
      <c r="A10" s="185" t="s">
        <v>117</v>
      </c>
      <c r="C10" s="209">
        <v>753</v>
      </c>
      <c r="D10" s="209">
        <v>902</v>
      </c>
      <c r="E10" s="181">
        <f>G10/C10</f>
        <v>1.0240504648074369</v>
      </c>
      <c r="G10" s="212">
        <f>SUM('[3]ODA-excl-debt-current'!$AS$29:$AZ$29)</f>
        <v>771.1099999999999</v>
      </c>
      <c r="H10" s="212">
        <f>'[5]Imputed-mutilat-ODA-current'!$N$29</f>
        <v>212.2</v>
      </c>
      <c r="I10" s="212">
        <f t="shared" si="2"/>
        <v>983.31</v>
      </c>
      <c r="J10" s="150">
        <f>G10/('3.Aid'!$J$5*1000)</f>
        <v>0.028875606406497924</v>
      </c>
      <c r="L10" s="215">
        <f>'[7]ARTF'!$M$23</f>
        <v>291.39300000000003</v>
      </c>
      <c r="M10" s="215">
        <f>('[7]LOTFA'!$M$21)/1000000</f>
        <v>55.437722368421056</v>
      </c>
      <c r="N10" s="215">
        <v>0</v>
      </c>
      <c r="O10" s="142">
        <f t="shared" si="0"/>
        <v>346.8307223684211</v>
      </c>
      <c r="P10" s="144">
        <f t="shared" si="1"/>
        <v>0.4497811237935199</v>
      </c>
      <c r="R10" s="151">
        <f>'[1]Troop-Contributions-Oct-2010'!$B$24</f>
        <v>380</v>
      </c>
      <c r="S10" s="155">
        <f>R10/'[1]Troop-Contributions-Oct-2010'!$C$1</f>
        <v>0.0029133954857703632</v>
      </c>
      <c r="T10" s="154" t="s">
        <v>270</v>
      </c>
    </row>
    <row r="11" spans="1:20" ht="15">
      <c r="A11" s="185" t="s">
        <v>119</v>
      </c>
      <c r="C11" s="209">
        <v>938</v>
      </c>
      <c r="D11" s="209">
        <v>598</v>
      </c>
      <c r="E11" s="181">
        <f>G11/C11</f>
        <v>0.71044776119403</v>
      </c>
      <c r="G11" s="212">
        <f>SUM('[3]ODA-excl-debt-current'!$AS$31:$AZ$31)</f>
        <v>666.4000000000001</v>
      </c>
      <c r="H11" s="212">
        <f>'[5]Imputed-mutilat-ODA-current'!$N$31</f>
        <v>86.17</v>
      </c>
      <c r="I11" s="212">
        <f t="shared" si="2"/>
        <v>752.57</v>
      </c>
      <c r="J11" s="150">
        <f>G11/('3.Aid'!$J$5*1000)</f>
        <v>0.024954551373072873</v>
      </c>
      <c r="L11" s="215">
        <f>'[7]ARTF'!$M$25</f>
        <v>164.155</v>
      </c>
      <c r="M11" s="215">
        <f>('[7]LOTFA'!$M$22)/1000000</f>
        <v>13.531837</v>
      </c>
      <c r="N11" s="215">
        <v>0</v>
      </c>
      <c r="O11" s="142">
        <f t="shared" si="0"/>
        <v>177.686837</v>
      </c>
      <c r="P11" s="144">
        <f t="shared" si="1"/>
        <v>0.2666369102641056</v>
      </c>
      <c r="R11" s="151">
        <f>'[1]Troop-Contributions-Oct-2010'!$B$25</f>
        <v>351</v>
      </c>
      <c r="S11" s="155">
        <f>R11/'[1]Troop-Contributions-Oct-2010'!$C$1</f>
        <v>0.0026910574092247302</v>
      </c>
      <c r="T11" s="154" t="s">
        <v>270</v>
      </c>
    </row>
    <row r="12" spans="1:20" ht="15">
      <c r="A12" s="185" t="s">
        <v>351</v>
      </c>
      <c r="C12" s="209">
        <v>1200</v>
      </c>
      <c r="D12" s="209">
        <v>1236</v>
      </c>
      <c r="E12" s="181">
        <f>G12/C12</f>
        <v>0.361456436875</v>
      </c>
      <c r="G12" s="212">
        <f>'[4]5.Aid-non-DAC'!$N$8</f>
        <v>433.74772425000003</v>
      </c>
      <c r="H12" s="214" t="s">
        <v>270</v>
      </c>
      <c r="I12" s="214" t="s">
        <v>313</v>
      </c>
      <c r="J12" s="150">
        <f>G12/('3.Aid'!$J$5*1000)</f>
        <v>0.016242466788340442</v>
      </c>
      <c r="L12" s="215">
        <f>(('[7]ARTF'!$M$15)/1000)*1000</f>
        <v>1.443</v>
      </c>
      <c r="M12" s="215">
        <v>0</v>
      </c>
      <c r="N12" s="215">
        <v>0</v>
      </c>
      <c r="O12" s="142">
        <f t="shared" si="0"/>
        <v>1.443</v>
      </c>
      <c r="P12" s="144">
        <f t="shared" si="1"/>
        <v>0.003326818607509962</v>
      </c>
      <c r="R12" s="152">
        <v>0</v>
      </c>
      <c r="S12" s="152">
        <v>0</v>
      </c>
      <c r="T12" s="152">
        <v>0</v>
      </c>
    </row>
    <row r="13" spans="1:20" ht="15">
      <c r="A13" s="185" t="s">
        <v>122</v>
      </c>
      <c r="C13" s="209">
        <v>289</v>
      </c>
      <c r="D13" s="209">
        <v>518</v>
      </c>
      <c r="E13" s="181">
        <f>G13/C13</f>
        <v>1.4734602076124568</v>
      </c>
      <c r="G13" s="212">
        <f>SUM('[3]ODA-excl-debt-current'!$AS$34:$AZ$34)</f>
        <v>425.83</v>
      </c>
      <c r="H13" s="212">
        <f>'[3]ODA-excl-debt-current'!$AZ$34</f>
        <v>80.07</v>
      </c>
      <c r="I13" s="212">
        <f t="shared" si="2"/>
        <v>505.9</v>
      </c>
      <c r="J13" s="150">
        <f>G13/('3.Aid'!$J$5*1000)</f>
        <v>0.015945973306115874</v>
      </c>
      <c r="L13" s="215">
        <f>(('[7]ARTF'!$M$31)/1000)*1000</f>
        <v>107.3695</v>
      </c>
      <c r="M13" s="215">
        <v>0</v>
      </c>
      <c r="N13" s="215">
        <f>('[7]CNTF'!$D$9)/1000000</f>
        <v>2</v>
      </c>
      <c r="O13" s="142">
        <f t="shared" si="0"/>
        <v>109.3695</v>
      </c>
      <c r="P13" s="144">
        <f t="shared" si="1"/>
        <v>0.25683840969400934</v>
      </c>
      <c r="R13" s="151">
        <f>'[1]Troop-Contributions-Oct-2010'!$B$21</f>
        <v>500</v>
      </c>
      <c r="S13" s="155">
        <f>R13/'[1]Troop-Contributions-Oct-2010'!$C$1</f>
        <v>0.003833415112855741</v>
      </c>
      <c r="T13" s="154" t="s">
        <v>270</v>
      </c>
    </row>
    <row r="14" spans="1:20" ht="15">
      <c r="A14" s="185" t="s">
        <v>113</v>
      </c>
      <c r="C14" s="209">
        <v>515</v>
      </c>
      <c r="D14" s="209">
        <v>424</v>
      </c>
      <c r="E14" s="181">
        <f>G14/C14</f>
        <v>0.7958446601941748</v>
      </c>
      <c r="G14" s="212">
        <f>SUM('[3]ODA-excl-debt-current'!$AS$25:$AZ$25)</f>
        <v>409.86</v>
      </c>
      <c r="H14" s="212">
        <f>'[5]Imputed-mutilat-ODA-current'!$N$25</f>
        <v>360.76</v>
      </c>
      <c r="I14" s="212">
        <f t="shared" si="2"/>
        <v>770.62</v>
      </c>
      <c r="J14" s="150">
        <f>G14/('3.Aid'!$J$5*1000)</f>
        <v>0.01534794781777858</v>
      </c>
      <c r="L14" s="215">
        <f>'[7]ARTF'!$M$18</f>
        <v>76.665</v>
      </c>
      <c r="M14" s="215">
        <f>('[7]LOTFA'!$M$18)/1000000</f>
        <v>3.8389825075647668</v>
      </c>
      <c r="N14" s="215">
        <f>('[7]CNTF'!$D$10)/1000000</f>
        <v>1.965191</v>
      </c>
      <c r="O14" s="142">
        <f t="shared" si="0"/>
        <v>82.46917350756478</v>
      </c>
      <c r="P14" s="144">
        <f t="shared" si="1"/>
        <v>0.20121303251735903</v>
      </c>
      <c r="R14" s="151">
        <f>'[1]Troop-Contributions-Oct-2010'!$B$10</f>
        <v>3300</v>
      </c>
      <c r="S14" s="155">
        <f>R14/'[1]Troop-Contributions-Oct-2010'!$C$1</f>
        <v>0.02530053974484789</v>
      </c>
      <c r="T14" s="183">
        <f>SUM('[1]Military Ops'!$C$11:$J$11)</f>
        <v>2.6344295267735056</v>
      </c>
    </row>
    <row r="15" spans="1:20" ht="15">
      <c r="A15" s="185" t="s">
        <v>33</v>
      </c>
      <c r="C15" s="209">
        <v>190</v>
      </c>
      <c r="D15" s="209">
        <v>165</v>
      </c>
      <c r="E15" s="181">
        <f>G15/C15</f>
        <v>2.137157894736842</v>
      </c>
      <c r="G15" s="212">
        <f>SUM('[3]ODA-excl-debt-current'!$AS$48:$AZ$48)</f>
        <v>406.06</v>
      </c>
      <c r="H15" s="212">
        <f>'[5]Imputed-mutilat-ODA-current'!$N$48</f>
        <v>4.11</v>
      </c>
      <c r="I15" s="212">
        <f t="shared" si="2"/>
        <v>410.17</v>
      </c>
      <c r="J15" s="150">
        <f>G15/('3.Aid'!$J$5*1000)</f>
        <v>0.015205649955807277</v>
      </c>
      <c r="L15" s="215">
        <f>'[7]ARTF'!$M$33</f>
        <v>0.5</v>
      </c>
      <c r="M15" s="215">
        <v>0</v>
      </c>
      <c r="N15" s="215">
        <v>0</v>
      </c>
      <c r="O15" s="142">
        <f t="shared" si="0"/>
        <v>0.5</v>
      </c>
      <c r="P15" s="144">
        <f t="shared" si="1"/>
        <v>0.001231345121410629</v>
      </c>
      <c r="R15" s="151">
        <f>'[1]Troop-Contributions-Oct-2010'!$B$13</f>
        <v>1790</v>
      </c>
      <c r="S15" s="155">
        <f>R15/'[1]Troop-Contributions-Oct-2010'!$C$1</f>
        <v>0.013723626104023553</v>
      </c>
      <c r="T15" s="154" t="s">
        <v>270</v>
      </c>
    </row>
    <row r="16" spans="1:20" ht="15">
      <c r="A16" s="185" t="s">
        <v>103</v>
      </c>
      <c r="C16" s="209">
        <v>369</v>
      </c>
      <c r="D16" s="209">
        <v>202</v>
      </c>
      <c r="E16" s="181">
        <f>G16/C16</f>
        <v>0.9880758807588077</v>
      </c>
      <c r="G16" s="212">
        <f>SUM('[3]ODA-excl-debt-current'!$AS$15:$AZ$15)</f>
        <v>364.6</v>
      </c>
      <c r="H16" s="212">
        <f>'[5]Imputed-mutilat-ODA-current'!$N$15</f>
        <v>48.38</v>
      </c>
      <c r="I16" s="212">
        <f t="shared" si="2"/>
        <v>412.98</v>
      </c>
      <c r="J16" s="150">
        <f>G16/('3.Aid'!$J$5*1000)</f>
        <v>0.013653105388088787</v>
      </c>
      <c r="L16" s="215">
        <f>'[7]ARTF'!$M$5</f>
        <v>59.6615</v>
      </c>
      <c r="M16" s="215">
        <f>('[7]LOTFA'!$M$5)/1000000</f>
        <v>3.4697734000000002</v>
      </c>
      <c r="N16" s="215">
        <f>('[7]CNTF'!$D$11)/1000000</f>
        <v>1.526718</v>
      </c>
      <c r="O16" s="142">
        <f t="shared" si="0"/>
        <v>64.6579914</v>
      </c>
      <c r="P16" s="144">
        <f t="shared" si="1"/>
        <v>0.17733952660449806</v>
      </c>
      <c r="R16" s="151">
        <f>'[1]Troop-Contributions-Oct-2010'!$B$15</f>
        <v>1550</v>
      </c>
      <c r="S16" s="155">
        <f>R16/'[1]Troop-Contributions-Oct-2010'!$C$1</f>
        <v>0.011883586849852797</v>
      </c>
      <c r="T16" s="183">
        <f>SUM('[1]Military Ops'!$C$8:$J$8)</f>
        <v>2.340558568351214</v>
      </c>
    </row>
    <row r="17" spans="1:20" ht="15">
      <c r="A17" s="185" t="s">
        <v>366</v>
      </c>
      <c r="C17" s="209">
        <v>864</v>
      </c>
      <c r="D17" s="209">
        <v>330</v>
      </c>
      <c r="E17" s="181">
        <f>G17/C17</f>
        <v>0.39465393518518516</v>
      </c>
      <c r="G17" s="212">
        <f>'[4]5.Aid-non-DAC'!$N$7</f>
        <v>340.981</v>
      </c>
      <c r="H17" s="214" t="s">
        <v>270</v>
      </c>
      <c r="I17" s="214" t="s">
        <v>313</v>
      </c>
      <c r="J17" s="150">
        <f>G17/('3.Aid'!$J$5*1000)</f>
        <v>0.01276864928232557</v>
      </c>
      <c r="L17" s="215">
        <f>'[7]ARTF'!$M$16</f>
        <v>0.99</v>
      </c>
      <c r="M17" s="215">
        <v>0</v>
      </c>
      <c r="N17" s="215">
        <v>0</v>
      </c>
      <c r="O17" s="142">
        <f t="shared" si="0"/>
        <v>0.99</v>
      </c>
      <c r="P17" s="144">
        <f t="shared" si="1"/>
        <v>0.0029033875787800494</v>
      </c>
      <c r="R17" s="152">
        <v>0</v>
      </c>
      <c r="S17" s="152">
        <f>R17/'[1]Troop-Contributions-Oct-2010'!$C$1</f>
        <v>0</v>
      </c>
      <c r="T17" s="152">
        <v>0</v>
      </c>
    </row>
    <row r="18" spans="1:20" ht="15">
      <c r="A18" s="185" t="s">
        <v>121</v>
      </c>
      <c r="C18" s="209">
        <v>486</v>
      </c>
      <c r="D18" s="209">
        <v>100</v>
      </c>
      <c r="E18" s="181">
        <f>G18/C18</f>
        <v>0.5984156378600823</v>
      </c>
      <c r="G18" s="212">
        <f>SUM('[3]ODA-excl-debt-current'!$AS$33:$AZ$33)</f>
        <v>290.83000000000004</v>
      </c>
      <c r="H18" s="212">
        <f>'[5]Imputed-mutilat-ODA-current'!$N$33</f>
        <v>235.77</v>
      </c>
      <c r="I18" s="212">
        <f t="shared" si="2"/>
        <v>526.6</v>
      </c>
      <c r="J18" s="150">
        <f>G18/('3.Aid'!$J$5*1000)</f>
        <v>0.010890654525556398</v>
      </c>
      <c r="L18" s="215">
        <f>'[7]ARTF'!$M$30</f>
        <v>30.843</v>
      </c>
      <c r="M18" s="215">
        <v>0</v>
      </c>
      <c r="N18" s="215">
        <f>('[7]CNTF'!$D$15)/1000000</f>
        <v>0.336022</v>
      </c>
      <c r="O18" s="142">
        <f t="shared" si="0"/>
        <v>31.179022</v>
      </c>
      <c r="P18" s="144">
        <f t="shared" si="1"/>
        <v>0.10720703503765085</v>
      </c>
      <c r="R18" s="151">
        <f>'[1]Troop-Contributions-Oct-2010'!$B$16</f>
        <v>1537</v>
      </c>
      <c r="S18" s="155">
        <f>R18/'[1]Troop-Contributions-Oct-2010'!$C$1</f>
        <v>0.011783918056918547</v>
      </c>
      <c r="T18" s="154" t="s">
        <v>270</v>
      </c>
    </row>
    <row r="19" spans="1:20" ht="15">
      <c r="A19" s="185" t="s">
        <v>107</v>
      </c>
      <c r="C19" s="209">
        <v>673</v>
      </c>
      <c r="D19" s="209">
        <v>290</v>
      </c>
      <c r="E19" s="181">
        <f>G19/C19</f>
        <v>0.40154531946508176</v>
      </c>
      <c r="G19" s="212">
        <f>SUM('[3]ODA-excl-debt-current'!$AS$19:$AZ$19)</f>
        <v>270.24</v>
      </c>
      <c r="H19" s="212">
        <f>'[5]Imputed-mutilat-ODA-current'!$N$19</f>
        <v>104.50999999999999</v>
      </c>
      <c r="I19" s="212">
        <f t="shared" si="2"/>
        <v>374.75</v>
      </c>
      <c r="J19" s="150">
        <f>G19/('3.Aid'!$J$5*1000)</f>
        <v>0.010119624794506621</v>
      </c>
      <c r="L19" s="215">
        <f>'[7]ARTF'!$M$10</f>
        <v>53.2735</v>
      </c>
      <c r="M19" s="215">
        <f>('[7]LOTFA'!$M$10)/1000000</f>
        <v>3.459223</v>
      </c>
      <c r="N19" s="215">
        <v>0</v>
      </c>
      <c r="O19" s="142">
        <f t="shared" si="0"/>
        <v>56.732723</v>
      </c>
      <c r="P19" s="144">
        <f t="shared" si="1"/>
        <v>0.20993458777383067</v>
      </c>
      <c r="R19" s="151">
        <f>'[1]Troop-Contributions-Oct-2010'!$B$18</f>
        <v>750</v>
      </c>
      <c r="S19" s="155">
        <f>R19/'[1]Troop-Contributions-Oct-2010'!$C$1</f>
        <v>0.005750122669283611</v>
      </c>
      <c r="T19" s="154" t="s">
        <v>270</v>
      </c>
    </row>
    <row r="20" spans="1:20" ht="15">
      <c r="A20" s="185" t="s">
        <v>109</v>
      </c>
      <c r="C20" s="209">
        <v>152</v>
      </c>
      <c r="D20" s="209">
        <v>228</v>
      </c>
      <c r="E20" s="181">
        <f>G20/C20</f>
        <v>1.058684210526316</v>
      </c>
      <c r="G20" s="212">
        <f>SUM('[3]ODA-excl-debt-current'!$AS$21:$AZ$21)</f>
        <v>160.92000000000002</v>
      </c>
      <c r="H20" s="212">
        <f>'[5]Imputed-mutilat-ODA-current'!$N$21</f>
        <v>570.4399999999999</v>
      </c>
      <c r="I20" s="212">
        <f t="shared" si="2"/>
        <v>731.3599999999999</v>
      </c>
      <c r="J20" s="150">
        <f>G20/('3.Aid'!$J$5*1000)</f>
        <v>0.0060259399864269</v>
      </c>
      <c r="L20" s="215">
        <f>'[7]ARTF'!$M$13</f>
        <v>6.563</v>
      </c>
      <c r="M20" s="215">
        <v>0</v>
      </c>
      <c r="N20" s="215">
        <v>0</v>
      </c>
      <c r="O20" s="142">
        <f t="shared" si="0"/>
        <v>6.563</v>
      </c>
      <c r="P20" s="144">
        <f t="shared" si="1"/>
        <v>0.04078424061645538</v>
      </c>
      <c r="R20" s="151">
        <f>'[1]Troop-Contributions-Oct-2010'!$B$9</f>
        <v>3750</v>
      </c>
      <c r="S20" s="155">
        <f>R20/'[1]Troop-Contributions-Oct-2010'!$C$1</f>
        <v>0.028750613346418055</v>
      </c>
      <c r="T20" s="154" t="s">
        <v>270</v>
      </c>
    </row>
    <row r="21" spans="1:20" ht="15">
      <c r="A21" s="185" t="s">
        <v>108</v>
      </c>
      <c r="C21" s="209">
        <v>152</v>
      </c>
      <c r="D21" s="209">
        <v>160</v>
      </c>
      <c r="E21" s="181">
        <f>G21/C21</f>
        <v>0.9696052631578947</v>
      </c>
      <c r="G21" s="212">
        <f>SUM('[3]ODA-excl-debt-current'!$AS$20:$AZ$20)</f>
        <v>147.38</v>
      </c>
      <c r="H21" s="212">
        <f>'[5]Imputed-mutilat-ODA-current'!$N$20</f>
        <v>55.14</v>
      </c>
      <c r="I21" s="212">
        <f t="shared" si="2"/>
        <v>202.51999999999998</v>
      </c>
      <c r="J21" s="150">
        <f>G21/('3.Aid'!$J$5*1000)</f>
        <v>0.005518910236139675</v>
      </c>
      <c r="L21" s="215">
        <f>'[7]ARTF'!$M$12</f>
        <v>29.137</v>
      </c>
      <c r="M21" s="215">
        <f>('[7]LOTFA'!$M$13)/1000000</f>
        <v>5.185202220000001</v>
      </c>
      <c r="N21" s="215">
        <v>0</v>
      </c>
      <c r="O21" s="142">
        <f t="shared" si="0"/>
        <v>34.32220222</v>
      </c>
      <c r="P21" s="144">
        <f t="shared" si="1"/>
        <v>0.2328823600217126</v>
      </c>
      <c r="R21" s="151">
        <f>'[1]Troop-Contributions-Oct-2010'!$B$34</f>
        <v>150</v>
      </c>
      <c r="S21" s="155">
        <f>R21/'[1]Troop-Contributions-Oct-2010'!$C$1</f>
        <v>0.0011500245338567222</v>
      </c>
      <c r="T21" s="154" t="s">
        <v>270</v>
      </c>
    </row>
    <row r="22" spans="1:20" ht="15">
      <c r="A22" s="185" t="s">
        <v>352</v>
      </c>
      <c r="C22" s="209">
        <v>141</v>
      </c>
      <c r="D22" s="209">
        <v>147</v>
      </c>
      <c r="E22" s="181">
        <f>G22/C22</f>
        <v>1.0407801418439717</v>
      </c>
      <c r="G22" s="212">
        <f>'[4]5.Aid-non-DAC'!$N$13</f>
        <v>146.75</v>
      </c>
      <c r="H22" s="214" t="s">
        <v>270</v>
      </c>
      <c r="I22" s="214" t="s">
        <v>313</v>
      </c>
      <c r="J22" s="150">
        <f>G22/('3.Aid'!$J$5*1000)</f>
        <v>0.005495318748497064</v>
      </c>
      <c r="L22" s="215">
        <f>'[7]ARTF'!$M$28</f>
        <v>2.5</v>
      </c>
      <c r="M22" s="215">
        <v>0</v>
      </c>
      <c r="N22" s="215">
        <v>0</v>
      </c>
      <c r="O22" s="142">
        <f t="shared" si="0"/>
        <v>2.5</v>
      </c>
      <c r="P22" s="144">
        <f t="shared" si="1"/>
        <v>0.017035775127768313</v>
      </c>
      <c r="R22" s="152">
        <v>0</v>
      </c>
      <c r="S22" s="152">
        <f>R22/'[1]Troop-Contributions-Oct-2010'!$C$1</f>
        <v>0</v>
      </c>
      <c r="T22" s="152">
        <v>0</v>
      </c>
    </row>
    <row r="23" spans="1:20" ht="15">
      <c r="A23" s="185" t="s">
        <v>123</v>
      </c>
      <c r="C23" s="209">
        <v>134</v>
      </c>
      <c r="D23" s="209">
        <v>124</v>
      </c>
      <c r="E23" s="181">
        <f>G23/C23</f>
        <v>1.029179104477612</v>
      </c>
      <c r="G23" s="212">
        <f>SUM('[3]ODA-excl-debt-current'!$AS$35:$AZ$35)</f>
        <v>137.91</v>
      </c>
      <c r="H23" s="212">
        <f>'[5]Imputed-mutilat-ODA-current'!$N$35</f>
        <v>45.8</v>
      </c>
      <c r="I23" s="212">
        <f t="shared" si="2"/>
        <v>183.70999999999998</v>
      </c>
      <c r="J23" s="150">
        <f>G23/('3.Aid'!$J$5*1000)</f>
        <v>0.005164288985384873</v>
      </c>
      <c r="L23" s="215">
        <f>'[7]ARTF'!$M$32</f>
        <v>0.67</v>
      </c>
      <c r="M23" s="215">
        <f>('[7]LOTFA'!$M$23)/1000000</f>
        <v>3.373722</v>
      </c>
      <c r="N23" s="215">
        <v>0</v>
      </c>
      <c r="O23" s="142">
        <f t="shared" si="0"/>
        <v>4.043722</v>
      </c>
      <c r="P23" s="144">
        <f t="shared" si="1"/>
        <v>0.02932145602204336</v>
      </c>
      <c r="R23" s="152">
        <v>0</v>
      </c>
      <c r="S23" s="152">
        <f>R23/'[1]Troop-Contributions-Oct-2010'!$C$1</f>
        <v>0</v>
      </c>
      <c r="T23" s="152">
        <v>0</v>
      </c>
    </row>
    <row r="24" spans="1:20" ht="15">
      <c r="A24" s="185" t="s">
        <v>111</v>
      </c>
      <c r="C24" s="209">
        <v>12</v>
      </c>
      <c r="D24" s="209">
        <v>2</v>
      </c>
      <c r="E24" s="181">
        <f>G24/C24</f>
        <v>8.3925</v>
      </c>
      <c r="G24" s="212">
        <f>SUM('[3]ODA-excl-debt-current'!$AS$23:$AZ$23)</f>
        <v>100.71</v>
      </c>
      <c r="H24" s="212">
        <f>'[5]Imputed-mutilat-ODA-current'!$N$23</f>
        <v>42.64</v>
      </c>
      <c r="I24" s="212">
        <f t="shared" si="2"/>
        <v>143.35</v>
      </c>
      <c r="J24" s="150">
        <f>G24/('3.Aid'!$J$5*1000)</f>
        <v>0.0037712678102973718</v>
      </c>
      <c r="L24" s="215">
        <v>0</v>
      </c>
      <c r="M24" s="215">
        <v>0</v>
      </c>
      <c r="N24" s="215">
        <f>('[7]CNTF'!$D$13)/1000000</f>
        <v>0.442478</v>
      </c>
      <c r="O24" s="142">
        <f t="shared" si="0"/>
        <v>0.442478</v>
      </c>
      <c r="P24" s="144">
        <f t="shared" si="1"/>
        <v>0.004393585542647205</v>
      </c>
      <c r="R24" s="151">
        <f>'[1]Troop-Contributions-Oct-2010'!$B$37</f>
        <v>80</v>
      </c>
      <c r="S24" s="155">
        <f>R24/'[1]Troop-Contributions-Oct-2010'!$C$1</f>
        <v>0.0006133464180569186</v>
      </c>
      <c r="T24" s="154" t="s">
        <v>270</v>
      </c>
    </row>
    <row r="25" spans="1:20" ht="15">
      <c r="A25" s="185" t="s">
        <v>30</v>
      </c>
      <c r="C25" s="209">
        <v>22</v>
      </c>
      <c r="D25" s="209">
        <v>6</v>
      </c>
      <c r="E25" s="181">
        <f>G25/C25</f>
        <v>4.45</v>
      </c>
      <c r="G25" s="212">
        <f>SUM('[3]ODA-excl-debt-current'!$AS$40:$AZ$40)</f>
        <v>97.9</v>
      </c>
      <c r="H25" s="212">
        <f>'[5]Imputed-mutilat-ODA-current'!$N$40</f>
        <v>13.27</v>
      </c>
      <c r="I25" s="212">
        <f t="shared" si="2"/>
        <v>111.17</v>
      </c>
      <c r="J25" s="150">
        <f>G25/('3.Aid'!$J$5*1000)</f>
        <v>0.003666042286050171</v>
      </c>
      <c r="L25" s="215">
        <v>0</v>
      </c>
      <c r="M25" s="215">
        <f>('[7]LOTFA'!$M$9)/1000000</f>
        <v>0.150602</v>
      </c>
      <c r="N25" s="215">
        <v>0</v>
      </c>
      <c r="O25" s="142">
        <f t="shared" si="0"/>
        <v>0.150602</v>
      </c>
      <c r="P25" s="144">
        <f t="shared" si="1"/>
        <v>0.0015383248212461696</v>
      </c>
      <c r="R25" s="151">
        <f>'[1]Troop-Contributions-Oct-2010'!$B$23</f>
        <v>468</v>
      </c>
      <c r="S25" s="155">
        <f>R25/'[1]Troop-Contributions-Oct-2010'!$C$1</f>
        <v>0.0035880765456329736</v>
      </c>
      <c r="T25" s="154" t="s">
        <v>270</v>
      </c>
    </row>
    <row r="26" spans="1:20" ht="15">
      <c r="A26" s="185" t="s">
        <v>364</v>
      </c>
      <c r="C26" s="209">
        <v>85</v>
      </c>
      <c r="D26" s="209">
        <v>54</v>
      </c>
      <c r="E26" s="181">
        <f>G26/C26</f>
        <v>1.0490588235294118</v>
      </c>
      <c r="G26" s="212">
        <f>SUM('[3]ODA-excl-debt-current'!$AS$27:$AZ$27)</f>
        <v>89.17</v>
      </c>
      <c r="H26" s="212">
        <f>'[5]Imputed-mutilat-ODA-current'!$N$27</f>
        <v>25.08</v>
      </c>
      <c r="I26" s="212">
        <f t="shared" si="2"/>
        <v>114.25</v>
      </c>
      <c r="J26" s="150">
        <f>G26/('3.Aid'!$J$5*1000)</f>
        <v>0.0033391316715739913</v>
      </c>
      <c r="L26" s="215">
        <f>'[7]ARTF'!$M$20</f>
        <v>6</v>
      </c>
      <c r="M26" s="215">
        <v>0</v>
      </c>
      <c r="N26" s="215">
        <v>0</v>
      </c>
      <c r="O26" s="142">
        <f t="shared" si="0"/>
        <v>6</v>
      </c>
      <c r="P26" s="144">
        <f t="shared" si="1"/>
        <v>0.0672872042166648</v>
      </c>
      <c r="R26" s="151">
        <f>'[1]Troop-Contributions-Oct-2010'!$B$29</f>
        <v>246</v>
      </c>
      <c r="S26" s="155">
        <f>R26/'[1]Troop-Contributions-Oct-2010'!$C$1</f>
        <v>0.0018860402355250245</v>
      </c>
      <c r="T26" s="154" t="s">
        <v>270</v>
      </c>
    </row>
    <row r="27" spans="1:20" ht="15">
      <c r="A27" s="185" t="s">
        <v>105</v>
      </c>
      <c r="C27" s="209">
        <v>57</v>
      </c>
      <c r="D27" s="209">
        <v>61</v>
      </c>
      <c r="E27" s="181">
        <f>G27/C27</f>
        <v>1.2147368421052633</v>
      </c>
      <c r="G27" s="212">
        <f>SUM('[3]ODA-excl-debt-current'!$AS$17:$AZ$17)</f>
        <v>69.24000000000001</v>
      </c>
      <c r="H27" s="212">
        <f>'[5]Imputed-mutilat-ODA-current'!$N$17</f>
        <v>119.14000000000001</v>
      </c>
      <c r="I27" s="212">
        <f t="shared" si="2"/>
        <v>188.38000000000002</v>
      </c>
      <c r="J27" s="150">
        <f>G27/('3.Aid'!$J$5*1000)</f>
        <v>0.0025928168323402848</v>
      </c>
      <c r="L27" s="215">
        <f>'[7]ARTF'!$M$8</f>
        <v>3.286</v>
      </c>
      <c r="M27" s="215">
        <f>('[7]LOTFA'!$M$6)/1000000</f>
        <v>0.712651</v>
      </c>
      <c r="N27" s="215">
        <v>0</v>
      </c>
      <c r="O27" s="142">
        <f t="shared" si="0"/>
        <v>3.998651</v>
      </c>
      <c r="P27" s="144">
        <f t="shared" si="1"/>
        <v>0.05775059214326978</v>
      </c>
      <c r="R27" s="151">
        <f>'[1]Troop-Contributions-Oct-2010'!$B$22</f>
        <v>491</v>
      </c>
      <c r="S27" s="155">
        <f>R27/'[1]Troop-Contributions-Oct-2010'!$C$1</f>
        <v>0.0037644136408243375</v>
      </c>
      <c r="T27" s="154" t="s">
        <v>270</v>
      </c>
    </row>
    <row r="28" spans="1:20" ht="15">
      <c r="A28" s="185" t="s">
        <v>353</v>
      </c>
      <c r="C28" s="209">
        <v>197</v>
      </c>
      <c r="D28" s="209">
        <v>138</v>
      </c>
      <c r="E28" s="181">
        <f>G28/C28</f>
        <v>0.2954314720812183</v>
      </c>
      <c r="G28" s="212">
        <f>'[4]5.Aid-non-DAC'!$N$4</f>
        <v>58.2</v>
      </c>
      <c r="H28" s="214" t="s">
        <v>270</v>
      </c>
      <c r="I28" s="214" t="s">
        <v>313</v>
      </c>
      <c r="J28" s="150">
        <f>G28/('3.Aid'!$J$5*1000)</f>
        <v>0.002179404096507865</v>
      </c>
      <c r="L28" s="215">
        <v>0</v>
      </c>
      <c r="M28" s="215">
        <v>0</v>
      </c>
      <c r="N28" s="215">
        <v>0</v>
      </c>
      <c r="O28" s="142">
        <f t="shared" si="0"/>
        <v>0</v>
      </c>
      <c r="P28" s="144">
        <f t="shared" si="1"/>
        <v>0</v>
      </c>
      <c r="R28" s="152">
        <v>0</v>
      </c>
      <c r="S28" s="152">
        <f>R28/'[1]Troop-Contributions-Oct-2010'!$C$1</f>
        <v>0</v>
      </c>
      <c r="T28" s="152">
        <v>0</v>
      </c>
    </row>
    <row r="29" spans="1:20" ht="15">
      <c r="A29" s="185" t="s">
        <v>120</v>
      </c>
      <c r="C29" s="209">
        <v>0</v>
      </c>
      <c r="D29" s="209">
        <v>0</v>
      </c>
      <c r="E29" s="180">
        <v>0</v>
      </c>
      <c r="G29" s="212">
        <f>SUM('[3]ODA-excl-debt-current'!$AS$32:$AZ$32)</f>
        <v>50.16</v>
      </c>
      <c r="H29" s="212">
        <f>'[5]Imputed-mutilat-ODA-current'!$N$32</f>
        <v>36.58</v>
      </c>
      <c r="I29" s="212">
        <f t="shared" si="2"/>
        <v>86.74</v>
      </c>
      <c r="J29" s="150">
        <f>G29/('3.Aid'!$J$5*1000)</f>
        <v>0.001878331778021211</v>
      </c>
      <c r="L29" s="215">
        <f>'[7]ARTF'!$M$27</f>
        <v>1.19</v>
      </c>
      <c r="M29" s="215">
        <v>0</v>
      </c>
      <c r="N29" s="215">
        <v>0</v>
      </c>
      <c r="O29" s="142">
        <f t="shared" si="0"/>
        <v>1.19</v>
      </c>
      <c r="P29" s="144">
        <f t="shared" si="1"/>
        <v>0.02372408293460925</v>
      </c>
      <c r="R29" s="151">
        <f>'[1]Troop-Contributions-Oct-2010'!$B$47</f>
        <v>26</v>
      </c>
      <c r="S29" s="155">
        <f>R29/'[1]Troop-Contributions-Oct-2010'!$C$1</f>
        <v>0.00019933758586849852</v>
      </c>
      <c r="T29" s="154" t="s">
        <v>270</v>
      </c>
    </row>
    <row r="30" spans="1:20" ht="15">
      <c r="A30" s="185" t="s">
        <v>134</v>
      </c>
      <c r="C30" s="209">
        <v>308</v>
      </c>
      <c r="D30" s="209">
        <v>23</v>
      </c>
      <c r="E30" s="181">
        <f>G30/C30</f>
        <v>0.16334415584415585</v>
      </c>
      <c r="G30" s="212">
        <f>SUM('[3]ODA-excl-debt-current'!$AS$49:$AZ$49)</f>
        <v>50.31</v>
      </c>
      <c r="H30" s="214" t="s">
        <v>270</v>
      </c>
      <c r="I30" s="214" t="s">
        <v>313</v>
      </c>
      <c r="J30" s="150">
        <f>G30/('3.Aid'!$J$5*1000)</f>
        <v>0.0018839487988884995</v>
      </c>
      <c r="L30" s="215">
        <v>0</v>
      </c>
      <c r="M30" s="215">
        <v>0</v>
      </c>
      <c r="N30" s="215">
        <v>0</v>
      </c>
      <c r="O30" s="142">
        <f t="shared" si="0"/>
        <v>0</v>
      </c>
      <c r="P30" s="144">
        <f t="shared" si="1"/>
        <v>0</v>
      </c>
      <c r="R30" s="151">
        <f>'[1]Troop-Contributions-Oct-2010'!$B$44</f>
        <v>35</v>
      </c>
      <c r="S30" s="155">
        <f>R30/'[1]Troop-Contributions-Oct-2010'!$C$1</f>
        <v>0.00026833905789990187</v>
      </c>
      <c r="T30" s="154" t="s">
        <v>270</v>
      </c>
    </row>
    <row r="31" spans="1:20" ht="15">
      <c r="A31" s="185" t="s">
        <v>112</v>
      </c>
      <c r="C31" s="209">
        <v>33</v>
      </c>
      <c r="D31" s="209">
        <v>25</v>
      </c>
      <c r="E31" s="181">
        <f>G31/C31</f>
        <v>1.360909090909091</v>
      </c>
      <c r="G31" s="212">
        <f>SUM('[3]ODA-excl-debt-current'!$AS$24:$AZ$24)</f>
        <v>44.910000000000004</v>
      </c>
      <c r="H31" s="212">
        <f>'[5]Imputed-mutilat-ODA-current'!$N$24</f>
        <v>43.68</v>
      </c>
      <c r="I31" s="212">
        <f t="shared" si="2"/>
        <v>88.59</v>
      </c>
      <c r="J31" s="150">
        <f>G31/('3.Aid'!$J$5*1000)</f>
        <v>0.0016817360476661203</v>
      </c>
      <c r="L31" s="215">
        <f>'[7]ARTF'!$M$17</f>
        <v>10.125</v>
      </c>
      <c r="M31" s="215">
        <f>('[7]LOTFA'!$M$17)/1000000</f>
        <v>0.535715</v>
      </c>
      <c r="N31" s="215">
        <v>0</v>
      </c>
      <c r="O31" s="142">
        <f t="shared" si="0"/>
        <v>10.660715</v>
      </c>
      <c r="P31" s="144">
        <f t="shared" si="1"/>
        <v>0.23737953685148072</v>
      </c>
      <c r="R31" s="151">
        <f>'[1]Troop-Contributions-Oct-2010'!$B$49</f>
        <v>7</v>
      </c>
      <c r="S31" s="155">
        <f>R31/'[1]Troop-Contributions-Oct-2010'!$C$1</f>
        <v>5.366781157998037E-05</v>
      </c>
      <c r="T31" s="154" t="s">
        <v>270</v>
      </c>
    </row>
    <row r="32" spans="1:20" ht="15">
      <c r="A32" s="185" t="s">
        <v>118</v>
      </c>
      <c r="C32" s="209">
        <v>30</v>
      </c>
      <c r="D32" s="209">
        <v>12</v>
      </c>
      <c r="E32" s="181">
        <f>G32/C32</f>
        <v>1.3893333333333335</v>
      </c>
      <c r="G32" s="212">
        <f>SUM('[3]ODA-excl-debt-current'!$AS$30:$AZ$30)</f>
        <v>41.68000000000001</v>
      </c>
      <c r="H32" s="212">
        <f>'[5]Imputed-mutilat-ODA-current'!$N$30</f>
        <v>5.96</v>
      </c>
      <c r="I32" s="212">
        <f t="shared" si="2"/>
        <v>47.64000000000001</v>
      </c>
      <c r="J32" s="150">
        <f>G32/('3.Aid'!$J$5*1000)</f>
        <v>0.001560782864990512</v>
      </c>
      <c r="L32" s="215">
        <f>'[7]ARTF'!$M$24</f>
        <v>0.628</v>
      </c>
      <c r="M32" s="215">
        <v>0</v>
      </c>
      <c r="N32" s="215">
        <f>('[7]CNTF'!$D$14)/1000000</f>
        <v>0.352609</v>
      </c>
      <c r="O32" s="142">
        <f t="shared" si="0"/>
        <v>0.9806090000000001</v>
      </c>
      <c r="P32" s="144">
        <f t="shared" si="1"/>
        <v>0.02352708733205374</v>
      </c>
      <c r="R32" s="151">
        <f>'[1]Troop-Contributions-Oct-2010'!$B$30</f>
        <v>231</v>
      </c>
      <c r="S32" s="155">
        <f>R32/'[1]Troop-Contributions-Oct-2010'!$C$1</f>
        <v>0.0017710377821393522</v>
      </c>
      <c r="T32" s="154" t="s">
        <v>270</v>
      </c>
    </row>
    <row r="33" spans="1:20" ht="15">
      <c r="A33" s="185" t="s">
        <v>306</v>
      </c>
      <c r="C33" s="209">
        <v>14</v>
      </c>
      <c r="D33" s="209">
        <v>6</v>
      </c>
      <c r="E33" s="181">
        <f>G33/C33</f>
        <v>2.870714285714286</v>
      </c>
      <c r="G33" s="212">
        <f>SUM('[3]ODA-excl-debt-current'!$AS$16:$AZ$16)</f>
        <v>40.190000000000005</v>
      </c>
      <c r="H33" s="212">
        <f>'[5]Imputed-mutilat-ODA-current'!$N$16</f>
        <v>68.25</v>
      </c>
      <c r="I33" s="212">
        <f t="shared" si="2"/>
        <v>108.44</v>
      </c>
      <c r="J33" s="150">
        <f>G33/('3.Aid'!$J$5*1000)</f>
        <v>0.0015049871243754483</v>
      </c>
      <c r="L33" s="215">
        <v>0</v>
      </c>
      <c r="M33" s="215">
        <v>0</v>
      </c>
      <c r="N33" s="215">
        <v>0</v>
      </c>
      <c r="O33" s="142">
        <f t="shared" si="0"/>
        <v>0</v>
      </c>
      <c r="P33" s="144">
        <f t="shared" si="1"/>
        <v>0</v>
      </c>
      <c r="R33" s="151">
        <f>'[1]Troop-Contributions-Oct-2010'!$B$51</f>
        <v>3</v>
      </c>
      <c r="S33" s="155">
        <f>R33/'[1]Troop-Contributions-Oct-2010'!$C$1</f>
        <v>2.3000490677134446E-05</v>
      </c>
      <c r="T33" s="154" t="s">
        <v>270</v>
      </c>
    </row>
    <row r="34" spans="1:20" ht="15">
      <c r="A34" s="185" t="s">
        <v>234</v>
      </c>
      <c r="C34" s="209">
        <v>533</v>
      </c>
      <c r="D34" s="209">
        <v>135</v>
      </c>
      <c r="E34" s="181">
        <f>G34/C34</f>
        <v>0.04690431519699812</v>
      </c>
      <c r="G34" s="212">
        <f>'[4]5.Aid-non-DAC'!$N$14</f>
        <v>25</v>
      </c>
      <c r="H34" s="214" t="s">
        <v>270</v>
      </c>
      <c r="I34" s="214" t="s">
        <v>313</v>
      </c>
      <c r="J34" s="150">
        <f>G34/('3.Aid'!$J$5*1000)</f>
        <v>0.0009361701445480518</v>
      </c>
      <c r="L34" s="215">
        <f>'[7]ARTF'!$M$29</f>
        <v>25</v>
      </c>
      <c r="M34" s="215">
        <v>0</v>
      </c>
      <c r="N34" s="215">
        <v>0</v>
      </c>
      <c r="O34" s="142">
        <f t="shared" si="0"/>
        <v>25</v>
      </c>
      <c r="P34" s="144">
        <f t="shared" si="1"/>
        <v>1</v>
      </c>
      <c r="R34" s="152">
        <v>0</v>
      </c>
      <c r="S34" s="152">
        <f>R34/'[1]Troop-Contributions-Oct-2010'!$C$1</f>
        <v>0</v>
      </c>
      <c r="T34" s="152">
        <v>0</v>
      </c>
    </row>
    <row r="35" spans="1:20" ht="15">
      <c r="A35" s="185" t="s">
        <v>128</v>
      </c>
      <c r="C35" s="209">
        <v>0</v>
      </c>
      <c r="D35" s="209">
        <v>5.667373</v>
      </c>
      <c r="E35" s="180">
        <v>0</v>
      </c>
      <c r="G35" s="212">
        <f>SUM('[3]ODA-excl-debt-current'!$AS$41:$AZ$41)</f>
        <v>22.13</v>
      </c>
      <c r="H35" s="212">
        <f>'[5]Imputed-mutilat-ODA-current'!$N$41</f>
        <v>9.37</v>
      </c>
      <c r="I35" s="212">
        <f t="shared" si="2"/>
        <v>31.5</v>
      </c>
      <c r="J35" s="150">
        <f>G35/('3.Aid'!$J$5*1000)</f>
        <v>0.0008286978119539354</v>
      </c>
      <c r="L35" s="215">
        <v>0</v>
      </c>
      <c r="M35" s="215">
        <f>('[7]LOTFA'!$M$15)/1000000</f>
        <v>0.13</v>
      </c>
      <c r="N35" s="215">
        <v>0</v>
      </c>
      <c r="O35" s="142">
        <f t="shared" si="0"/>
        <v>0.13</v>
      </c>
      <c r="P35" s="144">
        <f t="shared" si="1"/>
        <v>0.0058743786714866705</v>
      </c>
      <c r="R35" s="151">
        <f>'[1]Troop-Contributions-Oct-2010'!$B$20</f>
        <v>507</v>
      </c>
      <c r="S35" s="155">
        <f>R35/'[1]Troop-Contributions-Oct-2010'!$C$1</f>
        <v>0.003887082924435721</v>
      </c>
      <c r="T35" s="154" t="s">
        <v>270</v>
      </c>
    </row>
    <row r="36" spans="1:20" ht="15">
      <c r="A36" s="185" t="s">
        <v>116</v>
      </c>
      <c r="C36" s="209">
        <v>7</v>
      </c>
      <c r="D36" s="209">
        <v>11</v>
      </c>
      <c r="E36" s="181">
        <f>G36/C36</f>
        <v>3.0442857142857136</v>
      </c>
      <c r="G36" s="212">
        <f>SUM('[3]ODA-excl-debt-current'!$AS$28:$AZ$28)</f>
        <v>21.309999999999995</v>
      </c>
      <c r="H36" s="212">
        <f>'[5]Imputed-mutilat-ODA-current'!$N$28</f>
        <v>13.139999999999999</v>
      </c>
      <c r="I36" s="212">
        <f t="shared" si="2"/>
        <v>34.449999999999996</v>
      </c>
      <c r="J36" s="150">
        <f>G36/('3.Aid'!$J$5*1000)</f>
        <v>0.0007979914312127591</v>
      </c>
      <c r="L36" s="215">
        <f>'[7]ARTF'!$M$22</f>
        <v>5.6655</v>
      </c>
      <c r="M36" s="215">
        <v>0</v>
      </c>
      <c r="N36" s="215">
        <v>0</v>
      </c>
      <c r="O36" s="142">
        <f t="shared" si="0"/>
        <v>5.6655</v>
      </c>
      <c r="P36" s="144">
        <f t="shared" si="1"/>
        <v>0.2658610980760207</v>
      </c>
      <c r="R36" s="151">
        <f>'[1]Troop-Contributions-Oct-2010'!$B$48</f>
        <v>9</v>
      </c>
      <c r="S36" s="155">
        <f>R36/'[1]Troop-Contributions-Oct-2010'!$C$1</f>
        <v>6.900147203140334E-05</v>
      </c>
      <c r="T36" s="154" t="s">
        <v>270</v>
      </c>
    </row>
    <row r="37" spans="1:20" ht="15">
      <c r="A37" s="185" t="s">
        <v>354</v>
      </c>
      <c r="C37" s="209">
        <v>60</v>
      </c>
      <c r="D37" s="209">
        <v>19</v>
      </c>
      <c r="E37" s="181">
        <f>G37/C37</f>
        <v>0.31983333333333336</v>
      </c>
      <c r="G37" s="212">
        <f>'[4]5.Aid-non-DAC'!$N$9</f>
        <v>19.19</v>
      </c>
      <c r="H37" s="214" t="s">
        <v>270</v>
      </c>
      <c r="I37" s="214" t="s">
        <v>313</v>
      </c>
      <c r="J37" s="150">
        <f>G37/('3.Aid'!$J$5*1000)</f>
        <v>0.0007186042029550846</v>
      </c>
      <c r="L37" s="215">
        <f>'[7]ARTF'!$M$21</f>
        <v>15</v>
      </c>
      <c r="M37" s="215">
        <v>0</v>
      </c>
      <c r="N37" s="215">
        <v>0</v>
      </c>
      <c r="O37" s="142">
        <f t="shared" si="0"/>
        <v>15</v>
      </c>
      <c r="P37" s="144">
        <f t="shared" si="1"/>
        <v>0.781657113079729</v>
      </c>
      <c r="R37" s="152">
        <v>0</v>
      </c>
      <c r="S37" s="152">
        <v>0</v>
      </c>
      <c r="T37" s="152">
        <v>0</v>
      </c>
    </row>
    <row r="38" spans="1:20" ht="15">
      <c r="A38" s="185" t="s">
        <v>355</v>
      </c>
      <c r="C38" s="209">
        <v>0</v>
      </c>
      <c r="D38" s="209">
        <v>0</v>
      </c>
      <c r="E38" s="180">
        <v>0</v>
      </c>
      <c r="G38" s="212">
        <f>SUM('[3]ODA-excl-debt-current'!$AS$42:$AZ$42)</f>
        <v>16.03</v>
      </c>
      <c r="H38" s="214">
        <f>'[5]Imputed-mutilat-ODA-current'!$N$42</f>
        <v>0.75</v>
      </c>
      <c r="I38" s="214">
        <f>G38+H38</f>
        <v>16.78</v>
      </c>
      <c r="J38" s="150">
        <f>G38/('3.Aid'!$J$5*1000)</f>
        <v>0.0006002722966842108</v>
      </c>
      <c r="L38" s="215"/>
      <c r="M38" s="215"/>
      <c r="N38" s="215"/>
      <c r="O38" s="142">
        <f>'[7]CNTF'!$D$18/1000000</f>
        <v>0.1</v>
      </c>
      <c r="P38" s="144">
        <f t="shared" si="1"/>
        <v>0.006238303181534622</v>
      </c>
      <c r="R38" s="152">
        <f>'[1]Troop-Contributions-Oct-2010'!$B$50</f>
        <v>5</v>
      </c>
      <c r="S38" s="155">
        <f>R38/'[1]Troop-Contributions-Oct-2010'!$C$1</f>
        <v>3.833415112855741E-05</v>
      </c>
      <c r="T38" s="154" t="s">
        <v>270</v>
      </c>
    </row>
    <row r="39" spans="1:20" ht="15">
      <c r="A39" s="185" t="s">
        <v>31</v>
      </c>
      <c r="C39" s="209">
        <v>5</v>
      </c>
      <c r="D39" s="209">
        <v>15</v>
      </c>
      <c r="E39" s="181">
        <f>G39/C39</f>
        <v>2.308</v>
      </c>
      <c r="G39" s="212">
        <f>SUM('[3]ODA-excl-debt-current'!$AS$44:$AZ$44)</f>
        <v>11.54</v>
      </c>
      <c r="H39" s="212">
        <f>'[5]Imputed-mutilat-ODA-current'!$N$44</f>
        <v>31.479999999999997</v>
      </c>
      <c r="I39" s="212">
        <f t="shared" si="2"/>
        <v>43.019999999999996</v>
      </c>
      <c r="J39" s="150">
        <f>G39/('3.Aid'!$J$5*1000)</f>
        <v>0.00043213613872338067</v>
      </c>
      <c r="L39" s="215">
        <f>'[7]ARTF'!$M$26</f>
        <v>2.031</v>
      </c>
      <c r="M39" s="215">
        <v>0</v>
      </c>
      <c r="N39" s="215">
        <f>('[7]CNTF'!$D$17)/1000000</f>
        <v>0.1</v>
      </c>
      <c r="O39" s="142">
        <f t="shared" si="0"/>
        <v>2.1310000000000002</v>
      </c>
      <c r="P39" s="144">
        <f t="shared" si="1"/>
        <v>0.18466204506065861</v>
      </c>
      <c r="R39" s="151">
        <f>'[1]Troop-Contributions-Oct-2010'!$B$12</f>
        <v>2417</v>
      </c>
      <c r="S39" s="155">
        <f>R39/'[1]Troop-Contributions-Oct-2010'!$C$1</f>
        <v>0.018530728655544653</v>
      </c>
      <c r="T39" s="184">
        <f>SUM('[1]Military Ops'!$C$13:$J$13)</f>
        <v>0.5710330468234699</v>
      </c>
    </row>
    <row r="40" spans="1:20" ht="15">
      <c r="A40" s="185" t="s">
        <v>231</v>
      </c>
      <c r="C40" s="209">
        <v>0</v>
      </c>
      <c r="D40" s="209">
        <v>3.047367</v>
      </c>
      <c r="E40" s="180">
        <v>0</v>
      </c>
      <c r="G40" s="212">
        <f>'[4]5.Aid-non-DAC'!$N$11</f>
        <v>1.6230055</v>
      </c>
      <c r="H40" s="214" t="s">
        <v>270</v>
      </c>
      <c r="I40" s="214" t="s">
        <v>313</v>
      </c>
      <c r="J40" s="150">
        <f>G40/('3.Aid'!$J$5*1000)</f>
        <v>6.0776371741491324E-05</v>
      </c>
      <c r="L40" s="215">
        <v>0</v>
      </c>
      <c r="M40" s="215">
        <v>0</v>
      </c>
      <c r="N40" s="215">
        <v>0</v>
      </c>
      <c r="O40" s="142">
        <f t="shared" si="0"/>
        <v>0</v>
      </c>
      <c r="P40" s="144">
        <f t="shared" si="1"/>
        <v>0</v>
      </c>
      <c r="R40" s="151">
        <f>'[1]Troop-Contributions-Oct-2010'!$B$31</f>
        <v>220</v>
      </c>
      <c r="S40" s="155">
        <f>R40/'[1]Troop-Contributions-Oct-2010'!$C$1</f>
        <v>0.001686702649656526</v>
      </c>
      <c r="T40" s="154" t="s">
        <v>270</v>
      </c>
    </row>
    <row r="41" spans="1:20" ht="15">
      <c r="A41" s="185" t="s">
        <v>356</v>
      </c>
      <c r="C41" s="209">
        <v>0</v>
      </c>
      <c r="D41" s="209">
        <v>1.500583</v>
      </c>
      <c r="E41" s="180">
        <v>0</v>
      </c>
      <c r="G41" s="212">
        <f>'[4]5.Aid-non-DAC'!$N$15</f>
        <v>1.500583</v>
      </c>
      <c r="H41" s="214" t="s">
        <v>270</v>
      </c>
      <c r="I41" s="214" t="s">
        <v>313</v>
      </c>
      <c r="J41" s="150">
        <f>G41/('3.Aid'!$J$5*1000)</f>
        <v>5.619204016065397E-05</v>
      </c>
      <c r="L41" s="215">
        <v>0</v>
      </c>
      <c r="M41" s="215">
        <v>0</v>
      </c>
      <c r="N41" s="215">
        <v>0</v>
      </c>
      <c r="O41" s="142">
        <f t="shared" si="0"/>
        <v>0</v>
      </c>
      <c r="P41" s="144">
        <f t="shared" si="1"/>
        <v>0</v>
      </c>
      <c r="R41" s="151">
        <f>'[1]Troop-Contributions-Oct-2010'!$B$43</f>
        <v>36</v>
      </c>
      <c r="S41" s="155">
        <f>R41/'[1]Troop-Contributions-Oct-2010'!$C$1</f>
        <v>0.0002760058881256134</v>
      </c>
      <c r="T41" s="154" t="s">
        <v>270</v>
      </c>
    </row>
    <row r="42" spans="1:20" ht="15">
      <c r="A42" s="185" t="s">
        <v>357</v>
      </c>
      <c r="C42" s="209">
        <v>0</v>
      </c>
      <c r="D42" s="209">
        <v>1.044185</v>
      </c>
      <c r="E42" s="180">
        <v>0</v>
      </c>
      <c r="G42" s="212">
        <f>'[4]5.Aid-non-DAC'!$N$6</f>
        <v>0.45930948250000003</v>
      </c>
      <c r="H42" s="214" t="s">
        <v>270</v>
      </c>
      <c r="I42" s="214" t="s">
        <v>313</v>
      </c>
      <c r="J42" s="150">
        <f>G42/('3.Aid'!$J$5*1000)</f>
        <v>1.7199672984972636E-05</v>
      </c>
      <c r="L42" s="215">
        <v>0</v>
      </c>
      <c r="M42" s="215">
        <f>'[7]LOTFA'!$M$16/1000000</f>
        <v>0.1</v>
      </c>
      <c r="N42" s="215">
        <f>('[7]CNTF'!$D$19)/1000000</f>
        <v>0.05</v>
      </c>
      <c r="O42" s="142">
        <f t="shared" si="0"/>
        <v>0.15000000000000002</v>
      </c>
      <c r="P42" s="144">
        <f t="shared" si="1"/>
        <v>0.32657718970563604</v>
      </c>
      <c r="R42" s="151">
        <f>'[1]Troop-Contributions-Oct-2010'!$B$35</f>
        <v>136</v>
      </c>
      <c r="S42" s="155">
        <f>R42/'[1]Troop-Contributions-Oct-2010'!$C$1</f>
        <v>0.0010426889106967614</v>
      </c>
      <c r="T42" s="154" t="s">
        <v>270</v>
      </c>
    </row>
    <row r="43" spans="1:20" ht="15">
      <c r="A43" s="185" t="s">
        <v>365</v>
      </c>
      <c r="C43" s="209">
        <v>0</v>
      </c>
      <c r="D43" s="209">
        <v>0.435493</v>
      </c>
      <c r="E43" s="180">
        <v>0</v>
      </c>
      <c r="G43" s="212">
        <f>'[4]5.Aid-non-DAC'!$N$3</f>
        <v>0.435493</v>
      </c>
      <c r="H43" s="214" t="s">
        <v>270</v>
      </c>
      <c r="I43" s="214" t="s">
        <v>313</v>
      </c>
      <c r="J43" s="150">
        <f>G43/('3.Aid'!$J$5*1000)</f>
        <v>1.630782179038659E-05</v>
      </c>
      <c r="L43" s="215">
        <v>0</v>
      </c>
      <c r="M43" s="215">
        <v>0</v>
      </c>
      <c r="N43" s="215">
        <v>0</v>
      </c>
      <c r="O43" s="142">
        <f t="shared" si="0"/>
        <v>0</v>
      </c>
      <c r="P43" s="144">
        <f t="shared" si="1"/>
        <v>0</v>
      </c>
      <c r="R43" s="152">
        <v>0</v>
      </c>
      <c r="S43" s="152">
        <f>R43/'[1]Troop-Contributions-Oct-2010'!$C$1</f>
        <v>0</v>
      </c>
      <c r="T43" s="152">
        <v>0</v>
      </c>
    </row>
    <row r="44" spans="1:20" ht="15">
      <c r="A44" s="185" t="s">
        <v>358</v>
      </c>
      <c r="C44" s="209">
        <v>0</v>
      </c>
      <c r="D44" s="209">
        <v>2.896</v>
      </c>
      <c r="E44" s="180">
        <v>0</v>
      </c>
      <c r="G44" s="212">
        <f>'[4]5.Aid-non-DAC'!$N$12</f>
        <v>0.16</v>
      </c>
      <c r="H44" s="214" t="s">
        <v>270</v>
      </c>
      <c r="I44" s="214" t="s">
        <v>313</v>
      </c>
      <c r="J44" s="150">
        <f>G44/('3.Aid'!$J$5*1000)</f>
        <v>5.991488925107531E-06</v>
      </c>
      <c r="L44" s="215">
        <v>0</v>
      </c>
      <c r="M44" s="215">
        <v>0</v>
      </c>
      <c r="N44" s="215">
        <v>0</v>
      </c>
      <c r="O44" s="142">
        <f t="shared" si="0"/>
        <v>0</v>
      </c>
      <c r="P44" s="144">
        <f t="shared" si="1"/>
        <v>0</v>
      </c>
      <c r="R44" s="152">
        <v>0</v>
      </c>
      <c r="S44" s="152">
        <f>R44/'[1]Troop-Contributions-Oct-2010'!$C$1</f>
        <v>0</v>
      </c>
      <c r="T44" s="152">
        <v>0</v>
      </c>
    </row>
    <row r="45" spans="1:20" ht="15">
      <c r="A45" s="185" t="s">
        <v>359</v>
      </c>
      <c r="C45" s="209">
        <v>0</v>
      </c>
      <c r="D45" s="209">
        <v>0.08</v>
      </c>
      <c r="E45" s="180">
        <v>0</v>
      </c>
      <c r="G45" s="212">
        <f>'[4]5.Aid-non-DAC'!$N$5</f>
        <v>0.08</v>
      </c>
      <c r="H45" s="214" t="s">
        <v>270</v>
      </c>
      <c r="I45" s="214" t="s">
        <v>313</v>
      </c>
      <c r="J45" s="150">
        <f>G45/('3.Aid'!$J$5*1000)</f>
        <v>2.9957444625537657E-06</v>
      </c>
      <c r="L45" s="215">
        <v>0</v>
      </c>
      <c r="M45" s="215">
        <v>0</v>
      </c>
      <c r="N45" s="215">
        <f>'[7]CNTF'!$D$21/1000000</f>
        <v>0.01</v>
      </c>
      <c r="O45" s="142">
        <v>0</v>
      </c>
      <c r="P45" s="144">
        <f t="shared" si="1"/>
        <v>0</v>
      </c>
      <c r="R45" s="152">
        <v>0</v>
      </c>
      <c r="S45" s="152">
        <v>0</v>
      </c>
      <c r="T45" s="152">
        <v>0</v>
      </c>
    </row>
    <row r="46" spans="1:20" ht="15">
      <c r="A46" s="185" t="s">
        <v>360</v>
      </c>
      <c r="C46" s="209">
        <v>0</v>
      </c>
      <c r="D46" s="209">
        <v>0</v>
      </c>
      <c r="E46" s="180">
        <v>0</v>
      </c>
      <c r="G46" s="212">
        <v>0.04</v>
      </c>
      <c r="H46" s="214" t="s">
        <v>270</v>
      </c>
      <c r="I46" s="214" t="s">
        <v>313</v>
      </c>
      <c r="J46" s="150">
        <f>G46/('3.Aid'!$J$5*1000)</f>
        <v>1.4978722312768828E-06</v>
      </c>
      <c r="L46" s="215">
        <v>0</v>
      </c>
      <c r="M46" s="215">
        <v>0.02</v>
      </c>
      <c r="N46" s="215">
        <v>0.02</v>
      </c>
      <c r="O46" s="142">
        <v>0</v>
      </c>
      <c r="P46" s="144">
        <f t="shared" si="1"/>
        <v>0</v>
      </c>
      <c r="R46" s="152">
        <f>'[1]Troop-Contributions-Oct-2010'!$B$33</f>
        <v>155</v>
      </c>
      <c r="S46" s="152">
        <v>0</v>
      </c>
      <c r="T46" s="154" t="s">
        <v>270</v>
      </c>
    </row>
    <row r="47" spans="1:20" ht="15">
      <c r="A47" s="185" t="s">
        <v>361</v>
      </c>
      <c r="C47" s="209">
        <v>305</v>
      </c>
      <c r="D47" s="209">
        <v>0</v>
      </c>
      <c r="E47" s="181">
        <f>G47/C47</f>
        <v>0</v>
      </c>
      <c r="G47" s="212">
        <v>0</v>
      </c>
      <c r="H47" s="214" t="s">
        <v>270</v>
      </c>
      <c r="I47" s="214" t="s">
        <v>313</v>
      </c>
      <c r="J47" s="150">
        <f>G47/('3.Aid'!$J$5*1000)</f>
        <v>0</v>
      </c>
      <c r="L47" s="215">
        <v>0</v>
      </c>
      <c r="M47" s="215">
        <v>0</v>
      </c>
      <c r="N47" s="215">
        <v>0</v>
      </c>
      <c r="O47" s="142">
        <v>0</v>
      </c>
      <c r="P47" s="142">
        <v>0</v>
      </c>
      <c r="R47" s="152">
        <v>0</v>
      </c>
      <c r="S47" s="152">
        <v>0</v>
      </c>
      <c r="T47" s="152">
        <v>0</v>
      </c>
    </row>
    <row r="48" spans="1:20" ht="15">
      <c r="A48" s="185" t="s">
        <v>362</v>
      </c>
      <c r="C48" s="209">
        <v>20</v>
      </c>
      <c r="D48" s="209">
        <v>0</v>
      </c>
      <c r="E48" s="181">
        <f>G48/C48</f>
        <v>0</v>
      </c>
      <c r="G48" s="212">
        <v>0</v>
      </c>
      <c r="H48" s="214" t="s">
        <v>270</v>
      </c>
      <c r="I48" s="214" t="s">
        <v>313</v>
      </c>
      <c r="J48" s="150">
        <f>G48/('3.Aid'!$J$5*1000)</f>
        <v>0</v>
      </c>
      <c r="L48" s="215">
        <v>0</v>
      </c>
      <c r="M48" s="215">
        <v>0</v>
      </c>
      <c r="N48" s="215">
        <v>0</v>
      </c>
      <c r="O48" s="142">
        <f t="shared" si="0"/>
        <v>0</v>
      </c>
      <c r="P48" s="142">
        <v>0</v>
      </c>
      <c r="R48" s="152">
        <v>0</v>
      </c>
      <c r="S48" s="152">
        <v>0</v>
      </c>
      <c r="T48" s="152">
        <v>0</v>
      </c>
    </row>
    <row r="49" spans="1:20" ht="15">
      <c r="A49" s="185" t="s">
        <v>363</v>
      </c>
      <c r="C49" s="209">
        <v>6</v>
      </c>
      <c r="D49" s="209">
        <v>0</v>
      </c>
      <c r="E49" s="181">
        <f>G49/C49</f>
        <v>0</v>
      </c>
      <c r="G49" s="212">
        <v>0</v>
      </c>
      <c r="H49" s="214" t="s">
        <v>270</v>
      </c>
      <c r="I49" s="214" t="s">
        <v>313</v>
      </c>
      <c r="J49" s="150">
        <f>G49/('3.Aid'!$J$5*1000)</f>
        <v>0</v>
      </c>
      <c r="L49" s="215">
        <v>0</v>
      </c>
      <c r="M49" s="215">
        <v>0</v>
      </c>
      <c r="N49" s="215">
        <v>0</v>
      </c>
      <c r="O49" s="142">
        <f t="shared" si="0"/>
        <v>0</v>
      </c>
      <c r="P49" s="142">
        <v>0</v>
      </c>
      <c r="R49" s="152">
        <v>0</v>
      </c>
      <c r="S49" s="152">
        <f>R49/'[1]Troop-Contributions-Oct-2010'!$C$1</f>
        <v>0</v>
      </c>
      <c r="T49" s="152">
        <v>0</v>
      </c>
    </row>
    <row r="53" spans="10:16" ht="120">
      <c r="J53" s="185"/>
      <c r="L53" s="143" t="s">
        <v>314</v>
      </c>
      <c r="M53" s="143" t="s">
        <v>260</v>
      </c>
      <c r="N53" s="143" t="s">
        <v>261</v>
      </c>
      <c r="O53" s="143" t="s">
        <v>262</v>
      </c>
      <c r="P53" s="143" t="s">
        <v>268</v>
      </c>
    </row>
    <row r="54" spans="10:16" ht="30">
      <c r="J54" s="185"/>
      <c r="L54" s="147" t="s">
        <v>264</v>
      </c>
      <c r="M54" s="147" t="s">
        <v>264</v>
      </c>
      <c r="N54" s="147" t="s">
        <v>264</v>
      </c>
      <c r="O54" s="147" t="s">
        <v>264</v>
      </c>
      <c r="P54" s="143" t="s">
        <v>265</v>
      </c>
    </row>
    <row r="55" spans="10:16" ht="15">
      <c r="J55" s="185" t="s">
        <v>125</v>
      </c>
      <c r="L55" s="142">
        <v>508.99</v>
      </c>
      <c r="M55" s="142">
        <v>323.1</v>
      </c>
      <c r="N55" s="142">
        <v>10.105915</v>
      </c>
      <c r="O55" s="142">
        <v>842.195915</v>
      </c>
      <c r="P55" s="144">
        <v>0.07708132155477679</v>
      </c>
    </row>
    <row r="56" spans="10:16" ht="15">
      <c r="J56" s="185" t="s">
        <v>233</v>
      </c>
      <c r="L56" s="142">
        <v>316.15650000000005</v>
      </c>
      <c r="M56" s="142">
        <v>317.51468225445063</v>
      </c>
      <c r="N56" s="142">
        <v>16.481385</v>
      </c>
      <c r="O56" s="142">
        <v>650.1525672544508</v>
      </c>
      <c r="P56" s="144">
        <v>0.3105725457411153</v>
      </c>
    </row>
    <row r="57" spans="10:16" ht="15">
      <c r="J57" s="185" t="s">
        <v>124</v>
      </c>
      <c r="L57" s="142">
        <v>763.5555</v>
      </c>
      <c r="M57" s="142">
        <v>20.393637972173913</v>
      </c>
      <c r="N57" s="142">
        <v>24.374807</v>
      </c>
      <c r="O57" s="142">
        <v>808.323944972174</v>
      </c>
      <c r="P57" s="144">
        <v>0.4404459062423302</v>
      </c>
    </row>
    <row r="58" spans="10:16" ht="15">
      <c r="J58" s="185" t="s">
        <v>110</v>
      </c>
      <c r="L58" s="142">
        <v>201.8585</v>
      </c>
      <c r="M58" s="142">
        <v>47.95624125</v>
      </c>
      <c r="N58" s="142">
        <v>0</v>
      </c>
      <c r="O58" s="142">
        <v>249.81474125</v>
      </c>
      <c r="P58" s="144">
        <v>0.19471141173031956</v>
      </c>
    </row>
    <row r="59" spans="10:16" ht="15">
      <c r="J59" s="185" t="s">
        <v>106</v>
      </c>
      <c r="L59" s="142">
        <v>442.867</v>
      </c>
      <c r="M59" s="142">
        <v>71.31321265999999</v>
      </c>
      <c r="N59" s="142">
        <v>3.448798</v>
      </c>
      <c r="O59" s="142">
        <v>517.6290106600001</v>
      </c>
      <c r="P59" s="144">
        <v>0.4383900153800551</v>
      </c>
    </row>
    <row r="60" spans="10:16" ht="15">
      <c r="J60" s="185" t="s">
        <v>114</v>
      </c>
      <c r="L60" s="142">
        <v>5</v>
      </c>
      <c r="M60" s="142">
        <v>144.622896</v>
      </c>
      <c r="N60" s="142">
        <v>5</v>
      </c>
      <c r="O60" s="142">
        <v>154.622896</v>
      </c>
      <c r="P60" s="144">
        <v>0.1551363974756444</v>
      </c>
    </row>
    <row r="61" spans="10:16" ht="15">
      <c r="J61" s="185" t="s">
        <v>117</v>
      </c>
      <c r="L61" s="142">
        <v>291.39300000000003</v>
      </c>
      <c r="M61" s="142">
        <v>55.437722368421056</v>
      </c>
      <c r="N61" s="142">
        <v>0</v>
      </c>
      <c r="O61" s="142">
        <v>346.8307223684211</v>
      </c>
      <c r="P61" s="144">
        <v>0.4497811237935199</v>
      </c>
    </row>
    <row r="62" spans="10:16" ht="15">
      <c r="J62" s="185" t="s">
        <v>119</v>
      </c>
      <c r="L62" s="142">
        <v>164.155</v>
      </c>
      <c r="M62" s="142">
        <v>13.531837</v>
      </c>
      <c r="N62" s="142">
        <v>0</v>
      </c>
      <c r="O62" s="142">
        <v>177.686837</v>
      </c>
      <c r="P62" s="144">
        <v>0.2666369102641056</v>
      </c>
    </row>
    <row r="63" spans="10:16" ht="15">
      <c r="J63" s="185" t="s">
        <v>0</v>
      </c>
      <c r="L63" s="142">
        <v>1.443</v>
      </c>
      <c r="M63" s="142">
        <v>0</v>
      </c>
      <c r="N63" s="142">
        <v>0</v>
      </c>
      <c r="O63" s="142">
        <v>1.443</v>
      </c>
      <c r="P63" s="144">
        <v>0.003326818607509962</v>
      </c>
    </row>
    <row r="64" spans="10:16" ht="15">
      <c r="J64" s="185" t="s">
        <v>122</v>
      </c>
      <c r="L64" s="142">
        <v>107.3695</v>
      </c>
      <c r="M64" s="142">
        <v>0</v>
      </c>
      <c r="N64" s="142">
        <v>2</v>
      </c>
      <c r="O64" s="142">
        <v>109.3695</v>
      </c>
      <c r="P64" s="144">
        <v>0.25683840969400934</v>
      </c>
    </row>
    <row r="65" spans="10:16" ht="15">
      <c r="J65" s="185" t="s">
        <v>113</v>
      </c>
      <c r="L65" s="142">
        <v>76.665</v>
      </c>
      <c r="M65" s="142">
        <v>3.8389825075647668</v>
      </c>
      <c r="N65" s="142">
        <v>1.965191</v>
      </c>
      <c r="O65" s="142">
        <v>82.46917350756478</v>
      </c>
      <c r="P65" s="144">
        <v>0.20121303251735903</v>
      </c>
    </row>
    <row r="66" spans="10:16" ht="15">
      <c r="J66" s="185" t="s">
        <v>33</v>
      </c>
      <c r="L66" s="142">
        <v>0.5</v>
      </c>
      <c r="M66" s="142">
        <v>0</v>
      </c>
      <c r="N66" s="142">
        <v>0</v>
      </c>
      <c r="O66" s="142">
        <v>0.5</v>
      </c>
      <c r="P66" s="144">
        <v>0.001231345121410629</v>
      </c>
    </row>
    <row r="67" spans="10:16" ht="15">
      <c r="J67" s="185" t="s">
        <v>103</v>
      </c>
      <c r="L67" s="142">
        <v>59.6615</v>
      </c>
      <c r="M67" s="142">
        <v>3.4697734000000002</v>
      </c>
      <c r="N67" s="142">
        <v>1.526718</v>
      </c>
      <c r="O67" s="142">
        <v>64.6579914</v>
      </c>
      <c r="P67" s="144">
        <v>0.17733952660449806</v>
      </c>
    </row>
    <row r="68" spans="10:16" ht="15">
      <c r="J68" s="185" t="s">
        <v>34</v>
      </c>
      <c r="L68" s="142">
        <v>0.99</v>
      </c>
      <c r="M68" s="142">
        <v>0</v>
      </c>
      <c r="N68" s="142">
        <v>0</v>
      </c>
      <c r="O68" s="142">
        <v>0.99</v>
      </c>
      <c r="P68" s="144">
        <v>0.0029033875787800494</v>
      </c>
    </row>
    <row r="69" spans="10:16" ht="15">
      <c r="J69" s="185" t="s">
        <v>121</v>
      </c>
      <c r="L69" s="142">
        <v>30.843</v>
      </c>
      <c r="M69" s="142">
        <v>0</v>
      </c>
      <c r="N69" s="142">
        <v>0.336022</v>
      </c>
      <c r="O69" s="142">
        <v>31.179022</v>
      </c>
      <c r="P69" s="144">
        <v>0.10720703503765085</v>
      </c>
    </row>
    <row r="70" spans="10:16" ht="15">
      <c r="J70" s="185" t="s">
        <v>107</v>
      </c>
      <c r="L70" s="142">
        <v>53.2735</v>
      </c>
      <c r="M70" s="142">
        <v>3.459223</v>
      </c>
      <c r="N70" s="142">
        <v>0</v>
      </c>
      <c r="O70" s="142">
        <v>56.732723</v>
      </c>
      <c r="P70" s="144">
        <v>0.20993458777383067</v>
      </c>
    </row>
    <row r="71" spans="10:16" ht="15">
      <c r="J71" s="185" t="s">
        <v>109</v>
      </c>
      <c r="L71" s="142">
        <v>6.563</v>
      </c>
      <c r="M71" s="142">
        <v>0</v>
      </c>
      <c r="N71" s="142">
        <v>0</v>
      </c>
      <c r="O71" s="142">
        <v>6.563</v>
      </c>
      <c r="P71" s="144">
        <v>0.04078424061645538</v>
      </c>
    </row>
    <row r="72" spans="10:16" ht="15">
      <c r="J72" s="185" t="s">
        <v>108</v>
      </c>
      <c r="L72" s="142">
        <v>29.137</v>
      </c>
      <c r="M72" s="142">
        <v>5.185202220000001</v>
      </c>
      <c r="N72" s="142">
        <v>0</v>
      </c>
      <c r="O72" s="142">
        <v>34.32220222</v>
      </c>
      <c r="P72" s="144">
        <v>0.2328823600217126</v>
      </c>
    </row>
    <row r="73" spans="10:16" ht="15">
      <c r="J73" s="185" t="s">
        <v>304</v>
      </c>
      <c r="L73" s="142">
        <v>2.5</v>
      </c>
      <c r="M73" s="142">
        <v>0</v>
      </c>
      <c r="N73" s="142">
        <v>0</v>
      </c>
      <c r="O73" s="142">
        <v>2.5</v>
      </c>
      <c r="P73" s="144">
        <v>0.017035775127768313</v>
      </c>
    </row>
    <row r="74" spans="10:16" ht="15">
      <c r="J74" s="185" t="s">
        <v>123</v>
      </c>
      <c r="L74" s="142">
        <v>0.67</v>
      </c>
      <c r="M74" s="142">
        <v>3.373722</v>
      </c>
      <c r="N74" s="142">
        <v>0</v>
      </c>
      <c r="O74" s="142">
        <v>4.043722</v>
      </c>
      <c r="P74" s="144">
        <v>0.02932145602204336</v>
      </c>
    </row>
    <row r="75" spans="10:16" ht="15">
      <c r="J75" s="185" t="s">
        <v>111</v>
      </c>
      <c r="L75" s="142">
        <v>0</v>
      </c>
      <c r="M75" s="142">
        <v>0</v>
      </c>
      <c r="N75" s="142">
        <v>0.442478</v>
      </c>
      <c r="O75" s="142">
        <v>0.442478</v>
      </c>
      <c r="P75" s="144">
        <v>0.004393585542647205</v>
      </c>
    </row>
    <row r="76" spans="10:16" ht="15">
      <c r="J76" s="185" t="s">
        <v>30</v>
      </c>
      <c r="L76" s="142">
        <v>0</v>
      </c>
      <c r="M76" s="142">
        <v>0.150602</v>
      </c>
      <c r="N76" s="142">
        <v>0</v>
      </c>
      <c r="O76" s="142">
        <v>0.150602</v>
      </c>
      <c r="P76" s="144">
        <v>0.0015383248212461696</v>
      </c>
    </row>
    <row r="77" spans="10:16" ht="15">
      <c r="J77" s="185" t="s">
        <v>305</v>
      </c>
      <c r="L77" s="142">
        <v>6</v>
      </c>
      <c r="M77" s="142">
        <v>0</v>
      </c>
      <c r="N77" s="142">
        <v>0</v>
      </c>
      <c r="O77" s="142">
        <v>6</v>
      </c>
      <c r="P77" s="144">
        <v>0.0672872042166648</v>
      </c>
    </row>
    <row r="78" spans="10:16" ht="15">
      <c r="J78" s="185" t="s">
        <v>105</v>
      </c>
      <c r="L78" s="142">
        <v>3.286</v>
      </c>
      <c r="M78" s="142">
        <v>0.712651</v>
      </c>
      <c r="N78" s="142">
        <v>0</v>
      </c>
      <c r="O78" s="142">
        <v>3.998651</v>
      </c>
      <c r="P78" s="144">
        <v>0.05775059214326978</v>
      </c>
    </row>
    <row r="79" spans="10:16" ht="15">
      <c r="J79" s="185" t="s">
        <v>10</v>
      </c>
      <c r="L79" s="142">
        <v>0</v>
      </c>
      <c r="M79" s="142">
        <v>0</v>
      </c>
      <c r="N79" s="142">
        <v>0</v>
      </c>
      <c r="O79" s="142">
        <v>0</v>
      </c>
      <c r="P79" s="144">
        <v>0</v>
      </c>
    </row>
    <row r="80" spans="10:16" ht="15">
      <c r="J80" s="185" t="s">
        <v>120</v>
      </c>
      <c r="L80" s="142">
        <v>1.19</v>
      </c>
      <c r="M80" s="142">
        <v>0</v>
      </c>
      <c r="N80" s="142">
        <v>0</v>
      </c>
      <c r="O80" s="142">
        <v>1.19</v>
      </c>
      <c r="P80" s="144">
        <v>0.02372408293460925</v>
      </c>
    </row>
    <row r="81" spans="10:16" ht="15">
      <c r="J81" s="185" t="s">
        <v>236</v>
      </c>
      <c r="L81" s="142">
        <v>0</v>
      </c>
      <c r="M81" s="142">
        <v>0</v>
      </c>
      <c r="N81" s="142">
        <v>0</v>
      </c>
      <c r="O81" s="142">
        <v>0</v>
      </c>
      <c r="P81" s="144">
        <v>0</v>
      </c>
    </row>
    <row r="82" spans="10:16" ht="15">
      <c r="J82" s="185" t="s">
        <v>112</v>
      </c>
      <c r="L82" s="142">
        <v>10.125</v>
      </c>
      <c r="M82" s="142">
        <v>0.535715</v>
      </c>
      <c r="N82" s="142">
        <v>0</v>
      </c>
      <c r="O82" s="142">
        <v>10.660715</v>
      </c>
      <c r="P82" s="144">
        <v>0.23737953685148072</v>
      </c>
    </row>
    <row r="83" spans="10:16" ht="15">
      <c r="J83" s="185" t="s">
        <v>118</v>
      </c>
      <c r="L83" s="142">
        <v>0.628</v>
      </c>
      <c r="M83" s="142">
        <v>0</v>
      </c>
      <c r="N83" s="142">
        <v>0.352609</v>
      </c>
      <c r="O83" s="142">
        <v>0.9806090000000001</v>
      </c>
      <c r="P83" s="144">
        <v>0.02352708733205374</v>
      </c>
    </row>
    <row r="84" spans="10:16" ht="15">
      <c r="J84" s="185" t="s">
        <v>306</v>
      </c>
      <c r="L84" s="142">
        <v>0</v>
      </c>
      <c r="M84" s="142">
        <v>0</v>
      </c>
      <c r="N84" s="142">
        <v>0</v>
      </c>
      <c r="O84" s="142">
        <v>0</v>
      </c>
      <c r="P84" s="144">
        <v>0</v>
      </c>
    </row>
    <row r="85" spans="10:16" ht="15">
      <c r="J85" s="185" t="s">
        <v>234</v>
      </c>
      <c r="L85" s="142">
        <v>25</v>
      </c>
      <c r="M85" s="142">
        <v>0</v>
      </c>
      <c r="N85" s="142">
        <v>0</v>
      </c>
      <c r="O85" s="142">
        <v>25</v>
      </c>
      <c r="P85" s="144">
        <v>1</v>
      </c>
    </row>
    <row r="86" spans="10:16" ht="15">
      <c r="J86" s="185" t="s">
        <v>128</v>
      </c>
      <c r="L86" s="142">
        <v>0</v>
      </c>
      <c r="M86" s="142">
        <v>0.13</v>
      </c>
      <c r="N86" s="142">
        <v>0</v>
      </c>
      <c r="O86" s="142">
        <v>0.13</v>
      </c>
      <c r="P86" s="144">
        <v>0.0058743786714866705</v>
      </c>
    </row>
    <row r="87" spans="10:16" ht="15">
      <c r="J87" s="185" t="s">
        <v>116</v>
      </c>
      <c r="L87" s="142">
        <v>5.6655</v>
      </c>
      <c r="M87" s="142">
        <v>0</v>
      </c>
      <c r="N87" s="142">
        <v>0</v>
      </c>
      <c r="O87" s="142">
        <v>5.6655</v>
      </c>
      <c r="P87" s="144">
        <v>0.2658610980760207</v>
      </c>
    </row>
    <row r="88" spans="10:16" ht="15">
      <c r="J88" s="185" t="s">
        <v>235</v>
      </c>
      <c r="L88" s="142">
        <v>15</v>
      </c>
      <c r="M88" s="142">
        <v>0</v>
      </c>
      <c r="N88" s="142">
        <v>0</v>
      </c>
      <c r="O88" s="142">
        <v>15</v>
      </c>
      <c r="P88" s="144">
        <v>0.781657113079729</v>
      </c>
    </row>
    <row r="89" spans="10:16" ht="15">
      <c r="J89" s="185" t="s">
        <v>129</v>
      </c>
      <c r="L89" s="142"/>
      <c r="M89" s="142"/>
      <c r="N89" s="142"/>
      <c r="O89" s="142">
        <v>0.1</v>
      </c>
      <c r="P89" s="144">
        <v>0.006238303181534622</v>
      </c>
    </row>
    <row r="90" spans="10:16" ht="15">
      <c r="J90" s="185" t="s">
        <v>31</v>
      </c>
      <c r="L90" s="142">
        <v>2.031</v>
      </c>
      <c r="M90" s="142">
        <v>0</v>
      </c>
      <c r="N90" s="142">
        <v>0.1</v>
      </c>
      <c r="O90" s="142">
        <v>2.1310000000000002</v>
      </c>
      <c r="P90" s="144">
        <v>0.18466204506065861</v>
      </c>
    </row>
    <row r="91" spans="10:16" ht="15">
      <c r="J91" s="185" t="s">
        <v>231</v>
      </c>
      <c r="L91" s="142">
        <v>0</v>
      </c>
      <c r="M91" s="142">
        <v>0</v>
      </c>
      <c r="N91" s="142">
        <v>0</v>
      </c>
      <c r="O91" s="142">
        <v>0</v>
      </c>
      <c r="P91" s="144">
        <v>0</v>
      </c>
    </row>
    <row r="92" spans="10:16" ht="15">
      <c r="J92" s="185" t="s">
        <v>309</v>
      </c>
      <c r="L92" s="142">
        <v>0</v>
      </c>
      <c r="M92" s="142">
        <v>0</v>
      </c>
      <c r="N92" s="142">
        <v>0</v>
      </c>
      <c r="O92" s="142">
        <v>0</v>
      </c>
      <c r="P92" s="144">
        <v>0</v>
      </c>
    </row>
    <row r="93" spans="10:16" ht="15">
      <c r="J93" s="185" t="s">
        <v>230</v>
      </c>
      <c r="L93" s="142">
        <v>0</v>
      </c>
      <c r="M93" s="142">
        <v>0.1</v>
      </c>
      <c r="N93" s="142">
        <v>0.05</v>
      </c>
      <c r="O93" s="142">
        <v>0.15000000000000002</v>
      </c>
      <c r="P93" s="144">
        <v>0.32657718970563604</v>
      </c>
    </row>
    <row r="94" spans="10:16" ht="15">
      <c r="J94" s="185" t="s">
        <v>307</v>
      </c>
      <c r="L94" s="142">
        <v>0</v>
      </c>
      <c r="M94" s="142">
        <v>0</v>
      </c>
      <c r="N94" s="142">
        <v>0</v>
      </c>
      <c r="O94" s="142">
        <v>0</v>
      </c>
      <c r="P94" s="144">
        <v>0</v>
      </c>
    </row>
    <row r="95" spans="10:16" ht="15">
      <c r="J95" s="185" t="s">
        <v>308</v>
      </c>
      <c r="L95" s="142">
        <v>0</v>
      </c>
      <c r="M95" s="142">
        <v>0</v>
      </c>
      <c r="N95" s="142">
        <v>0</v>
      </c>
      <c r="O95" s="142">
        <v>0</v>
      </c>
      <c r="P95" s="144">
        <v>0</v>
      </c>
    </row>
    <row r="96" spans="10:16" ht="15">
      <c r="J96" s="185" t="s">
        <v>315</v>
      </c>
      <c r="L96" s="142">
        <v>0</v>
      </c>
      <c r="M96" s="142">
        <v>0</v>
      </c>
      <c r="N96" s="142">
        <v>0.01</v>
      </c>
      <c r="O96" s="142">
        <v>0</v>
      </c>
      <c r="P96" s="144">
        <v>0</v>
      </c>
    </row>
    <row r="97" spans="10:16" ht="15">
      <c r="J97" s="185" t="s">
        <v>296</v>
      </c>
      <c r="L97" s="142">
        <v>0</v>
      </c>
      <c r="M97" s="142">
        <v>0.02</v>
      </c>
      <c r="N97" s="142">
        <v>0.02</v>
      </c>
      <c r="O97" s="142">
        <v>0</v>
      </c>
      <c r="P97" s="144">
        <v>0</v>
      </c>
    </row>
    <row r="98" spans="10:16" ht="15">
      <c r="J98" s="185" t="s">
        <v>1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</row>
    <row r="99" spans="10:16" ht="15">
      <c r="J99" s="185" t="s">
        <v>238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</row>
    <row r="100" spans="10:16" ht="15">
      <c r="J100" s="185" t="s">
        <v>237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2.421875" style="0" customWidth="1"/>
    <col min="2" max="5" width="9.57421875" style="0" bestFit="1" customWidth="1"/>
    <col min="7" max="7" width="9.57421875" style="0" bestFit="1" customWidth="1"/>
  </cols>
  <sheetData>
    <row r="1" spans="1:9" ht="15.75" thickBot="1">
      <c r="A1" s="41"/>
      <c r="B1" s="41">
        <v>2002</v>
      </c>
      <c r="C1" s="41">
        <v>2003</v>
      </c>
      <c r="D1" s="41">
        <v>2004</v>
      </c>
      <c r="E1" s="41">
        <v>2005</v>
      </c>
      <c r="F1" s="41">
        <v>2006</v>
      </c>
      <c r="G1" s="41">
        <v>2007</v>
      </c>
      <c r="H1" s="41">
        <v>2008</v>
      </c>
      <c r="I1" s="41">
        <v>2009</v>
      </c>
    </row>
    <row r="2" spans="1:11" ht="15">
      <c r="A2" s="51" t="s">
        <v>21</v>
      </c>
      <c r="B2" s="52">
        <f>('[4]5.Aid-non-DAC'!$D$27)/1000</f>
        <v>0.08342653024999999</v>
      </c>
      <c r="C2" s="52">
        <f>('[4]5.Aid-non-DAC'!$E$27)/1000</f>
        <v>0.19079550025</v>
      </c>
      <c r="D2" s="52">
        <f>('[4]5.Aid-non-DAC'!$F$27)/1000</f>
        <v>0.15675441687500002</v>
      </c>
      <c r="E2" s="52">
        <f>('[4]5.Aid-non-DAC'!$G$27)/1000</f>
        <v>0.19854401925</v>
      </c>
      <c r="F2" s="52">
        <f>('[4]5.Aid-non-DAC'!$H$27)/1000</f>
        <v>0.17299772875000002</v>
      </c>
      <c r="G2" s="52">
        <f>('[4]5.Aid-non-DAC'!$I$27)/1000</f>
        <v>0.180594997</v>
      </c>
      <c r="H2" s="52">
        <f>('[4]5.Aid-non-DAC'!$J$27)/1000</f>
        <v>0.3635413213275</v>
      </c>
      <c r="I2" s="52">
        <f>('[4]5.Aid-non-DAC'!$K$27)/1000</f>
        <v>0.24769288678</v>
      </c>
      <c r="J2" s="42">
        <f>SUM(B2:I2)</f>
        <v>1.5943474004825</v>
      </c>
      <c r="K2" s="90">
        <f>J2/J5</f>
        <v>0.05970321745478051</v>
      </c>
    </row>
    <row r="3" spans="1:9" ht="15">
      <c r="A3" s="51" t="s">
        <v>22</v>
      </c>
      <c r="B3" s="52">
        <f>('[3]ODA-excl-debt-current'!AS10)/1000</f>
        <v>0.9877</v>
      </c>
      <c r="C3" s="52">
        <f>('[3]ODA-excl-debt-current'!AT10)/1000</f>
        <v>1.22079</v>
      </c>
      <c r="D3" s="52">
        <f>('[3]ODA-excl-debt-current'!AU10)/1000</f>
        <v>1.7226</v>
      </c>
      <c r="E3" s="52">
        <f>('[3]ODA-excl-debt-current'!AV10)/1000</f>
        <v>2.17535</v>
      </c>
      <c r="F3" s="52">
        <f>('[3]ODA-excl-debt-current'!AW10)/1000</f>
        <v>2.40672</v>
      </c>
      <c r="G3" s="52">
        <f>('[3]ODA-excl-debt-current'!AX10)/1000</f>
        <v>2.9376100000000003</v>
      </c>
      <c r="H3" s="52">
        <f>('[3]ODA-excl-debt-current'!AY10)/1000</f>
        <v>3.9495500000000003</v>
      </c>
      <c r="I3" s="52">
        <f>('[3]ODA-excl-debt-current'!AZ10)/1000</f>
        <v>4.9238800000000005</v>
      </c>
    </row>
    <row r="4" spans="1:9" ht="15">
      <c r="A4" s="51" t="s">
        <v>23</v>
      </c>
      <c r="B4" s="52">
        <f>('[3]ODA-excl-debt-current'!AS11)/1000</f>
        <v>0.2905</v>
      </c>
      <c r="C4" s="52">
        <f>('[3]ODA-excl-debt-current'!AT11)/1000</f>
        <v>0.36278</v>
      </c>
      <c r="D4" s="52">
        <f>('[3]ODA-excl-debt-current'!AU11)/1000</f>
        <v>0.5503899999999999</v>
      </c>
      <c r="E4" s="52">
        <f>('[3]ODA-excl-debt-current'!AV11)/1000</f>
        <v>0.60393</v>
      </c>
      <c r="F4" s="52">
        <f>('[3]ODA-excl-debt-current'!AW11)/1000</f>
        <v>0.4732</v>
      </c>
      <c r="G4" s="52">
        <f>('[3]ODA-excl-debt-current'!AX11)/1000</f>
        <v>0.85099</v>
      </c>
      <c r="H4" s="52">
        <f>('[3]ODA-excl-debt-current'!AY11)/1000</f>
        <v>0.70227</v>
      </c>
      <c r="I4" s="52">
        <f>('[3]ODA-excl-debt-current'!AZ11)/1000</f>
        <v>0.95194</v>
      </c>
    </row>
    <row r="5" spans="1:10" s="43" customFormat="1" ht="15">
      <c r="A5" s="120" t="s">
        <v>24</v>
      </c>
      <c r="B5" s="121">
        <f>(SUM(B2:B4))</f>
        <v>1.36162653025</v>
      </c>
      <c r="C5" s="121">
        <f aca="true" t="shared" si="0" ref="C5:I5">(SUM(C2:C4))</f>
        <v>1.77436550025</v>
      </c>
      <c r="D5" s="121">
        <f t="shared" si="0"/>
        <v>2.4297444168749998</v>
      </c>
      <c r="E5" s="121">
        <f t="shared" si="0"/>
        <v>2.97782401925</v>
      </c>
      <c r="F5" s="121">
        <f t="shared" si="0"/>
        <v>3.05291772875</v>
      </c>
      <c r="G5" s="121">
        <f t="shared" si="0"/>
        <v>3.9691949970000002</v>
      </c>
      <c r="H5" s="121">
        <f t="shared" si="0"/>
        <v>5.0153613213275</v>
      </c>
      <c r="I5" s="121">
        <f t="shared" si="0"/>
        <v>6.12351288678</v>
      </c>
      <c r="J5" s="44">
        <f>SUM(B5:I5)</f>
        <v>26.704547400482497</v>
      </c>
    </row>
    <row r="7" spans="1:9" ht="15">
      <c r="A7" s="51" t="s">
        <v>480</v>
      </c>
      <c r="B7" s="91">
        <f>B3/B5</f>
        <v>0.7253824584474382</v>
      </c>
      <c r="C7" s="91">
        <f aca="true" t="shared" si="1" ref="C7:I7">C3/C5</f>
        <v>0.688014955108176</v>
      </c>
      <c r="D7" s="91">
        <f t="shared" si="1"/>
        <v>0.7089634564179844</v>
      </c>
      <c r="E7" s="91">
        <f t="shared" si="1"/>
        <v>0.7305166409893784</v>
      </c>
      <c r="F7" s="91">
        <f t="shared" si="1"/>
        <v>0.7883343783998458</v>
      </c>
      <c r="G7" s="91">
        <f t="shared" si="1"/>
        <v>0.7401022127207927</v>
      </c>
      <c r="H7" s="91">
        <f t="shared" si="1"/>
        <v>0.7874906207065868</v>
      </c>
      <c r="I7" s="91">
        <f t="shared" si="1"/>
        <v>0.8040940047060443</v>
      </c>
    </row>
    <row r="8" ht="15">
      <c r="J8" s="42"/>
    </row>
    <row r="9" spans="1:10" ht="15">
      <c r="A9" t="s">
        <v>125</v>
      </c>
      <c r="B9">
        <v>0.36761</v>
      </c>
      <c r="C9">
        <v>0.48579</v>
      </c>
      <c r="D9">
        <v>0.7782899999999999</v>
      </c>
      <c r="E9">
        <v>1.3183</v>
      </c>
      <c r="F9">
        <v>1.40371</v>
      </c>
      <c r="G9">
        <v>1.4861199999999999</v>
      </c>
      <c r="H9">
        <v>2.10632</v>
      </c>
      <c r="I9">
        <v>2.97993</v>
      </c>
      <c r="J9" s="85"/>
    </row>
    <row r="10" spans="2:9" ht="15">
      <c r="B10" s="91">
        <f>B9/B5</f>
        <v>0.26997858210981346</v>
      </c>
      <c r="C10" s="91">
        <f aca="true" t="shared" si="2" ref="C10:I10">C9/C5</f>
        <v>0.2737823745623742</v>
      </c>
      <c r="D10" s="91">
        <f t="shared" si="2"/>
        <v>0.3203176410632492</v>
      </c>
      <c r="E10" s="91">
        <f t="shared" si="2"/>
        <v>0.4427058118538615</v>
      </c>
      <c r="F10" s="91">
        <f t="shared" si="2"/>
        <v>0.4597929340777687</v>
      </c>
      <c r="G10" s="91">
        <f t="shared" si="2"/>
        <v>0.37441345187707836</v>
      </c>
      <c r="H10" s="91">
        <f t="shared" si="2"/>
        <v>0.41997372971773944</v>
      </c>
      <c r="I10" s="91">
        <f t="shared" si="2"/>
        <v>0.4866373362965146</v>
      </c>
    </row>
    <row r="11" spans="1:9" ht="15">
      <c r="A11" t="s">
        <v>481</v>
      </c>
      <c r="B11" s="91">
        <f>B2/B5</f>
        <v>0.06126975965625652</v>
      </c>
      <c r="C11" s="91">
        <f aca="true" t="shared" si="3" ref="C11:I11">C2/C5</f>
        <v>0.10752886044229207</v>
      </c>
      <c r="D11" s="91">
        <f t="shared" si="3"/>
        <v>0.06451477603418417</v>
      </c>
      <c r="E11" s="91">
        <f t="shared" si="3"/>
        <v>0.06667419497140253</v>
      </c>
      <c r="F11" s="91">
        <f t="shared" si="3"/>
        <v>0.05666635793059284</v>
      </c>
      <c r="G11" s="91">
        <f t="shared" si="3"/>
        <v>0.045499149610058826</v>
      </c>
      <c r="H11" s="91">
        <f t="shared" si="3"/>
        <v>0.07248556944074279</v>
      </c>
      <c r="I11" s="91">
        <f t="shared" si="3"/>
        <v>0.04044947587433711</v>
      </c>
    </row>
    <row r="12" spans="1:9" ht="15">
      <c r="A12" t="s">
        <v>371</v>
      </c>
      <c r="B12" s="91">
        <f>B4/B5</f>
        <v>0.21334778189630532</v>
      </c>
      <c r="C12" s="91">
        <f aca="true" t="shared" si="4" ref="C12:I12">C4/C5</f>
        <v>0.20445618444953192</v>
      </c>
      <c r="D12" s="91">
        <f t="shared" si="4"/>
        <v>0.22652176754783143</v>
      </c>
      <c r="E12" s="91">
        <f t="shared" si="4"/>
        <v>0.20280916403921911</v>
      </c>
      <c r="F12" s="91">
        <f t="shared" si="4"/>
        <v>0.1549992636695615</v>
      </c>
      <c r="G12" s="91">
        <f t="shared" si="4"/>
        <v>0.2143986376691485</v>
      </c>
      <c r="H12" s="91">
        <f t="shared" si="4"/>
        <v>0.14002380985267046</v>
      </c>
      <c r="I12" s="91">
        <f t="shared" si="4"/>
        <v>0.15545651941961863</v>
      </c>
    </row>
    <row r="25" ht="15">
      <c r="B25" s="288" t="s">
        <v>462</v>
      </c>
    </row>
    <row r="26" ht="15">
      <c r="B26" s="288" t="s">
        <v>463</v>
      </c>
    </row>
    <row r="34" ht="15">
      <c r="B34" t="s">
        <v>515</v>
      </c>
    </row>
    <row r="35" ht="15">
      <c r="B35" t="s">
        <v>516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8"/>
  <sheetViews>
    <sheetView zoomScalePageLayoutView="0" workbookViewId="0" topLeftCell="A15">
      <selection activeCell="D33" sqref="D33"/>
    </sheetView>
  </sheetViews>
  <sheetFormatPr defaultColWidth="9.140625" defaultRowHeight="15"/>
  <sheetData>
    <row r="4" ht="15">
      <c r="B4" t="s">
        <v>484</v>
      </c>
    </row>
    <row r="6" spans="3:6" ht="15">
      <c r="C6" s="302" t="s">
        <v>485</v>
      </c>
      <c r="D6" s="302" t="s">
        <v>486</v>
      </c>
      <c r="E6" s="302" t="s">
        <v>487</v>
      </c>
      <c r="F6" s="302" t="s">
        <v>488</v>
      </c>
    </row>
    <row r="7" spans="3:8" ht="15">
      <c r="C7" s="303">
        <v>4.819</v>
      </c>
      <c r="D7" s="303">
        <v>4.558</v>
      </c>
      <c r="E7" s="303">
        <v>4.561</v>
      </c>
      <c r="F7" s="303">
        <v>4.516</v>
      </c>
      <c r="H7" s="116"/>
    </row>
    <row r="27" ht="15">
      <c r="C27" t="s">
        <v>494</v>
      </c>
    </row>
    <row r="28" ht="15">
      <c r="C28" s="288" t="s">
        <v>495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.421875" style="0" customWidth="1"/>
    <col min="3" max="3" width="4.28125" style="0" customWidth="1"/>
    <col min="5" max="5" width="4.28125" style="0" customWidth="1"/>
    <col min="7" max="7" width="4.140625" style="0" customWidth="1"/>
    <col min="9" max="9" width="4.57421875" style="0" customWidth="1"/>
    <col min="11" max="11" width="4.421875" style="0" customWidth="1"/>
    <col min="13" max="13" width="3.7109375" style="0" customWidth="1"/>
    <col min="15" max="15" width="3.8515625" style="0" customWidth="1"/>
    <col min="17" max="17" width="4.421875" style="0" customWidth="1"/>
    <col min="19" max="19" width="4.00390625" style="0" customWidth="1"/>
  </cols>
  <sheetData>
    <row r="1" ht="8.25" customHeight="1" thickBot="1"/>
    <row r="2" spans="2:19" ht="15">
      <c r="B2" s="325">
        <v>2001</v>
      </c>
      <c r="C2" s="326">
        <v>2001</v>
      </c>
      <c r="D2" s="325">
        <v>2002</v>
      </c>
      <c r="E2" s="326">
        <v>2002</v>
      </c>
      <c r="F2" s="325">
        <v>2003</v>
      </c>
      <c r="G2" s="326">
        <v>2003</v>
      </c>
      <c r="H2" s="325">
        <v>2004</v>
      </c>
      <c r="I2" s="326">
        <v>2004</v>
      </c>
      <c r="J2" s="325">
        <v>2005</v>
      </c>
      <c r="K2" s="326"/>
      <c r="L2" s="325">
        <v>2006</v>
      </c>
      <c r="M2" s="326"/>
      <c r="N2" s="325">
        <v>2007</v>
      </c>
      <c r="O2" s="326"/>
      <c r="P2" s="325">
        <v>2008</v>
      </c>
      <c r="Q2" s="326"/>
      <c r="R2" s="325">
        <v>2009</v>
      </c>
      <c r="S2" s="326"/>
    </row>
    <row r="3" spans="2:19" ht="15">
      <c r="B3" s="1" t="s">
        <v>0</v>
      </c>
      <c r="C3" s="2">
        <v>2.51537</v>
      </c>
      <c r="D3" s="3" t="s">
        <v>1</v>
      </c>
      <c r="E3" s="4">
        <v>2.7684499999999996</v>
      </c>
      <c r="F3" s="5" t="s">
        <v>2</v>
      </c>
      <c r="G3" s="6">
        <v>2.78339</v>
      </c>
      <c r="H3" s="5" t="s">
        <v>2</v>
      </c>
      <c r="I3" s="6">
        <v>5.11761</v>
      </c>
      <c r="J3" s="5" t="s">
        <v>2</v>
      </c>
      <c r="K3" s="6">
        <v>8.8251</v>
      </c>
      <c r="L3" s="5" t="s">
        <v>2</v>
      </c>
      <c r="M3" s="6">
        <v>5.87593</v>
      </c>
      <c r="N3" s="5" t="s">
        <v>2</v>
      </c>
      <c r="O3" s="6">
        <v>4.45396</v>
      </c>
      <c r="P3" s="7" t="s">
        <v>3</v>
      </c>
      <c r="Q3" s="8">
        <v>4.85838</v>
      </c>
      <c r="R3" s="7" t="s">
        <v>3</v>
      </c>
      <c r="S3" s="8">
        <v>6.1838299999999995</v>
      </c>
    </row>
    <row r="4" spans="2:19" ht="22.5">
      <c r="B4" s="3" t="s">
        <v>1</v>
      </c>
      <c r="C4" s="4">
        <v>2.48885</v>
      </c>
      <c r="D4" s="9" t="s">
        <v>4</v>
      </c>
      <c r="E4" s="10">
        <v>2.46427</v>
      </c>
      <c r="F4" s="11" t="s">
        <v>5</v>
      </c>
      <c r="G4" s="12">
        <v>2.24721</v>
      </c>
      <c r="H4" s="7" t="s">
        <v>3</v>
      </c>
      <c r="I4" s="8">
        <v>2.7138899999999997</v>
      </c>
      <c r="J4" s="7" t="s">
        <v>3</v>
      </c>
      <c r="K4" s="8">
        <v>3.2161</v>
      </c>
      <c r="L4" s="7" t="s">
        <v>3</v>
      </c>
      <c r="M4" s="8">
        <v>3.27046</v>
      </c>
      <c r="N4" s="7" t="s">
        <v>3</v>
      </c>
      <c r="O4" s="8">
        <v>4.06748</v>
      </c>
      <c r="P4" s="13" t="s">
        <v>6</v>
      </c>
      <c r="Q4" s="14">
        <v>3.3273800000000002</v>
      </c>
      <c r="R4" s="13" t="s">
        <v>6</v>
      </c>
      <c r="S4" s="14">
        <v>3.94002</v>
      </c>
    </row>
    <row r="5" spans="2:19" ht="15">
      <c r="B5" s="15" t="s">
        <v>7</v>
      </c>
      <c r="C5" s="16">
        <v>2.28209</v>
      </c>
      <c r="D5" s="1" t="s">
        <v>0</v>
      </c>
      <c r="E5" s="2">
        <v>2.4318</v>
      </c>
      <c r="F5" s="17" t="s">
        <v>8</v>
      </c>
      <c r="G5" s="18">
        <v>2.19881</v>
      </c>
      <c r="H5" s="11" t="s">
        <v>5</v>
      </c>
      <c r="I5" s="12">
        <v>2.1191199999999997</v>
      </c>
      <c r="J5" s="19" t="s">
        <v>9</v>
      </c>
      <c r="K5" s="20">
        <v>2.2899000000000003</v>
      </c>
      <c r="L5" s="3" t="s">
        <v>1</v>
      </c>
      <c r="M5" s="4">
        <v>2.38312</v>
      </c>
      <c r="N5" s="11" t="s">
        <v>5</v>
      </c>
      <c r="O5" s="12">
        <v>2.68508</v>
      </c>
      <c r="P5" s="5" t="s">
        <v>2</v>
      </c>
      <c r="Q5" s="6">
        <v>3.2552399999999997</v>
      </c>
      <c r="R5" s="11" t="s">
        <v>5</v>
      </c>
      <c r="S5" s="12">
        <v>3.71732</v>
      </c>
    </row>
    <row r="6" spans="2:19" ht="22.5">
      <c r="B6" s="21" t="s">
        <v>10</v>
      </c>
      <c r="C6" s="22">
        <v>2.17782</v>
      </c>
      <c r="D6" s="21" t="s">
        <v>10</v>
      </c>
      <c r="E6" s="22">
        <v>2.00621</v>
      </c>
      <c r="F6" s="7" t="s">
        <v>3</v>
      </c>
      <c r="G6" s="8">
        <v>2.06295</v>
      </c>
      <c r="H6" s="13" t="s">
        <v>6</v>
      </c>
      <c r="I6" s="14">
        <v>2.01541</v>
      </c>
      <c r="J6" s="11" t="s">
        <v>5</v>
      </c>
      <c r="K6" s="12">
        <v>2.17836</v>
      </c>
      <c r="L6" s="23" t="s">
        <v>11</v>
      </c>
      <c r="M6" s="24">
        <v>2.29623</v>
      </c>
      <c r="N6" s="13" t="s">
        <v>6</v>
      </c>
      <c r="O6" s="14">
        <v>2.66823</v>
      </c>
      <c r="P6" s="9" t="s">
        <v>4</v>
      </c>
      <c r="Q6" s="10">
        <v>2.59275</v>
      </c>
      <c r="R6" s="9" t="s">
        <v>4</v>
      </c>
      <c r="S6" s="10">
        <v>3.10356</v>
      </c>
    </row>
    <row r="7" spans="2:19" ht="15.75" thickBot="1">
      <c r="B7" s="25" t="s">
        <v>5</v>
      </c>
      <c r="C7" s="26">
        <v>2.1084899999999998</v>
      </c>
      <c r="D7" s="27" t="s">
        <v>3</v>
      </c>
      <c r="E7" s="28">
        <v>1.9513099999999999</v>
      </c>
      <c r="F7" s="29" t="s">
        <v>6</v>
      </c>
      <c r="G7" s="30">
        <v>2.0322999999999998</v>
      </c>
      <c r="H7" s="31" t="s">
        <v>8</v>
      </c>
      <c r="I7" s="32">
        <v>1.99247</v>
      </c>
      <c r="J7" s="29" t="s">
        <v>6</v>
      </c>
      <c r="K7" s="30">
        <v>2.16927</v>
      </c>
      <c r="L7" s="25" t="s">
        <v>5</v>
      </c>
      <c r="M7" s="26">
        <v>2.08804</v>
      </c>
      <c r="N7" s="33" t="s">
        <v>1</v>
      </c>
      <c r="O7" s="34">
        <v>2.32715</v>
      </c>
      <c r="P7" s="25" t="s">
        <v>5</v>
      </c>
      <c r="Q7" s="26">
        <v>2.54435</v>
      </c>
      <c r="R7" s="31" t="s">
        <v>8</v>
      </c>
      <c r="S7" s="32">
        <v>3.03411</v>
      </c>
    </row>
    <row r="9" ht="15">
      <c r="D9" s="288" t="s">
        <v>507</v>
      </c>
    </row>
    <row r="10" ht="15">
      <c r="D10" s="288" t="s">
        <v>461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22">
      <selection activeCell="C42" sqref="C42"/>
    </sheetView>
  </sheetViews>
  <sheetFormatPr defaultColWidth="9.140625" defaultRowHeight="15"/>
  <cols>
    <col min="3" max="3" width="9.57421875" style="0" customWidth="1"/>
    <col min="4" max="4" width="9.8515625" style="0" customWidth="1"/>
    <col min="5" max="5" width="10.7109375" style="0" customWidth="1"/>
    <col min="6" max="6" width="9.7109375" style="0" bestFit="1" customWidth="1"/>
    <col min="7" max="8" width="10.57421875" style="0" bestFit="1" customWidth="1"/>
    <col min="9" max="11" width="9.7109375" style="0" bestFit="1" customWidth="1"/>
    <col min="12" max="14" width="9.57421875" style="0" bestFit="1" customWidth="1"/>
  </cols>
  <sheetData>
    <row r="1" spans="1:6" ht="15">
      <c r="A1" s="327" t="s">
        <v>12</v>
      </c>
      <c r="B1" s="328"/>
      <c r="C1" s="329" t="s">
        <v>13</v>
      </c>
      <c r="D1" s="330"/>
      <c r="E1" s="330"/>
      <c r="F1" s="330"/>
    </row>
    <row r="2" spans="1:6" ht="15">
      <c r="A2" s="327" t="s">
        <v>14</v>
      </c>
      <c r="B2" s="328"/>
      <c r="C2" s="329" t="s">
        <v>15</v>
      </c>
      <c r="D2" s="330"/>
      <c r="E2" s="330"/>
      <c r="F2" s="330"/>
    </row>
    <row r="4" ht="105.75" customHeight="1">
      <c r="F4" s="35" t="s">
        <v>16</v>
      </c>
    </row>
    <row r="5" spans="3:19" ht="26.25" customHeight="1">
      <c r="C5">
        <v>-3</v>
      </c>
      <c r="D5">
        <v>-2</v>
      </c>
      <c r="E5">
        <v>-1</v>
      </c>
      <c r="F5" s="35">
        <v>0</v>
      </c>
      <c r="G5">
        <v>1</v>
      </c>
      <c r="H5">
        <v>2</v>
      </c>
      <c r="I5">
        <v>3</v>
      </c>
      <c r="J5">
        <v>4</v>
      </c>
      <c r="K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3:12" ht="15.75" thickBot="1">
      <c r="C6" s="36">
        <v>2000</v>
      </c>
      <c r="D6" s="36">
        <v>2001</v>
      </c>
      <c r="E6" s="36">
        <v>2002</v>
      </c>
      <c r="F6" s="37">
        <v>2003</v>
      </c>
      <c r="G6" s="36">
        <v>2004</v>
      </c>
      <c r="H6" s="36">
        <v>2005</v>
      </c>
      <c r="I6" s="36">
        <v>2006</v>
      </c>
      <c r="J6" s="36">
        <v>2007</v>
      </c>
      <c r="K6" s="36">
        <v>2008</v>
      </c>
      <c r="L6" s="36">
        <v>2009</v>
      </c>
    </row>
    <row r="7" spans="1:12" ht="15">
      <c r="A7" t="s">
        <v>2</v>
      </c>
      <c r="B7" t="s">
        <v>17</v>
      </c>
      <c r="C7">
        <f>'[3]ODA-global-recip-constant'!AQ165</f>
        <v>174.3</v>
      </c>
      <c r="D7">
        <f>'[3]ODA-global-recip-constant'!AR165</f>
        <v>216.66</v>
      </c>
      <c r="E7">
        <f>'[3]ODA-global-recip-constant'!AS165</f>
        <v>179.72</v>
      </c>
      <c r="F7" s="38">
        <f>'[3]ODA-global-recip-constant'!AT165</f>
        <v>2783.39</v>
      </c>
      <c r="G7">
        <f>'[3]ODA-global-recip-constant'!AU165</f>
        <v>5117.61</v>
      </c>
      <c r="H7">
        <f>'[3]ODA-global-recip-constant'!AV165</f>
        <v>8825.1</v>
      </c>
      <c r="I7">
        <f>'[3]ODA-global-recip-constant'!AW165</f>
        <v>5875.93</v>
      </c>
      <c r="J7">
        <f>'[3]ODA-global-recip-constant'!AX165</f>
        <v>4453.96</v>
      </c>
      <c r="K7">
        <f>'[3]ODA-global-recip-constant'!AY165</f>
        <v>3255.24</v>
      </c>
      <c r="L7">
        <f>'[3]ODA-global-recip-constant'!AZ165</f>
        <v>2786.85</v>
      </c>
    </row>
    <row r="8" spans="2:12" ht="15">
      <c r="B8" t="s">
        <v>18</v>
      </c>
      <c r="C8" s="39">
        <f>C7/'[3]Population'!G79</f>
        <v>6.957528341050615</v>
      </c>
      <c r="D8" s="39">
        <f>D7/'[3]Population'!H79</f>
        <v>8.449814358366353</v>
      </c>
      <c r="E8" s="39">
        <f>E7/'[3]Population'!I79</f>
        <v>6.851801018696435</v>
      </c>
      <c r="F8" s="40">
        <f>F7/'[3]Population'!J79</f>
        <v>103.78657936342212</v>
      </c>
      <c r="G8" s="39">
        <f>G7/'[3]Population'!K79</f>
        <v>186.7250211623223</v>
      </c>
      <c r="H8" s="39">
        <f>H7/'[3]Population'!L79</f>
        <v>315.2271753107587</v>
      </c>
      <c r="I8" s="39">
        <f>I7/'[3]Population'!M79</f>
        <v>205.92442805876416</v>
      </c>
      <c r="J8" s="39">
        <f>J7/'[3]Population'!N79</f>
        <v>153.20024215073883</v>
      </c>
      <c r="K8" s="39">
        <f>K7/'[3]Population'!O79</f>
        <v>109.9327281569136</v>
      </c>
      <c r="L8" s="39">
        <f>L7/'[3]Population'!P79</f>
        <v>92.43406214344469</v>
      </c>
    </row>
    <row r="9" spans="1:14" ht="15.75" thickBot="1">
      <c r="A9" t="s">
        <v>3</v>
      </c>
      <c r="C9" s="36">
        <v>1998</v>
      </c>
      <c r="D9" s="36">
        <v>1999</v>
      </c>
      <c r="E9" s="36">
        <v>2000</v>
      </c>
      <c r="F9" s="37">
        <v>2001</v>
      </c>
      <c r="G9" s="36">
        <v>2002</v>
      </c>
      <c r="H9" s="36">
        <v>2003</v>
      </c>
      <c r="I9" s="36">
        <v>2004</v>
      </c>
      <c r="J9" s="36">
        <v>2005</v>
      </c>
      <c r="K9" s="36">
        <v>2006</v>
      </c>
      <c r="L9" s="36">
        <v>2007</v>
      </c>
      <c r="M9" s="36">
        <v>2008</v>
      </c>
      <c r="N9" s="36">
        <v>2009</v>
      </c>
    </row>
    <row r="10" spans="2:14" ht="15">
      <c r="B10" t="s">
        <v>17</v>
      </c>
      <c r="C10">
        <f>'[3]ODA-global-recip-constant'!AO143</f>
        <v>245.3</v>
      </c>
      <c r="D10">
        <f>'[3]ODA-global-recip-constant'!AP143</f>
        <v>215.73</v>
      </c>
      <c r="E10">
        <f>'[3]ODA-global-recip-constant'!AQ143</f>
        <v>232.43</v>
      </c>
      <c r="F10" s="38">
        <f>'[3]ODA-global-recip-constant'!AR143</f>
        <v>735.85</v>
      </c>
      <c r="G10">
        <f>'[3]ODA-global-recip-constant'!AS143</f>
        <v>1932.35</v>
      </c>
      <c r="H10">
        <f>'[3]ODA-global-recip-constant'!AT143</f>
        <v>2062.95</v>
      </c>
      <c r="I10">
        <f>'[3]ODA-global-recip-constant'!AU143</f>
        <v>2713.89</v>
      </c>
      <c r="J10">
        <f>'[3]ODA-global-recip-constant'!AV143</f>
        <v>3216.1</v>
      </c>
      <c r="K10">
        <f>'[3]ODA-global-recip-constant'!AW143</f>
        <v>3270.46</v>
      </c>
      <c r="L10">
        <f>'[3]ODA-global-recip-constant'!AX143</f>
        <v>4067.49</v>
      </c>
      <c r="M10">
        <f>'[3]ODA-global-recip-constant'!AY143</f>
        <v>4858.38</v>
      </c>
      <c r="N10">
        <f>'[3]ODA-global-recip-constant'!AZ143</f>
        <v>6183.83</v>
      </c>
    </row>
    <row r="11" spans="2:14" ht="15">
      <c r="B11" t="s">
        <v>18</v>
      </c>
      <c r="C11" s="39">
        <f>C10/'[3]Population'!E4</f>
        <v>12.423650010635821</v>
      </c>
      <c r="D11" s="39">
        <f>D10/'[3]Population'!F4</f>
        <v>10.658175566183154</v>
      </c>
      <c r="E11" s="39">
        <f>E10/'[3]Population'!G4</f>
        <v>11.208467955827748</v>
      </c>
      <c r="F11" s="40">
        <f>F10/'[3]Population'!H4</f>
        <v>34.06239874091561</v>
      </c>
      <c r="G11" s="39">
        <f>G10/'[3]Population'!I4</f>
        <v>86.00071209221593</v>
      </c>
      <c r="H11" s="39">
        <f>H10/'[3]Population'!J4</f>
        <v>88.40582815513177</v>
      </c>
      <c r="I11" s="39">
        <f>I10/'[3]Population'!K4</f>
        <v>112.13958100904921</v>
      </c>
      <c r="J11" s="39">
        <f>J10/'[3]Population'!L4</f>
        <v>128.30015558303745</v>
      </c>
      <c r="K11" s="39">
        <f>K10/'[3]Population'!M4</f>
        <v>125.15441193353588</v>
      </c>
      <c r="L11" s="39">
        <f>L10/'[3]Population'!N4</f>
        <v>149.56316784209326</v>
      </c>
      <c r="M11" s="39">
        <f>M10/'[3]Population'!O4</f>
        <v>171.91598077862153</v>
      </c>
      <c r="N11" s="39">
        <f>N10/'[3]Population'!P4</f>
        <v>210.87516965278297</v>
      </c>
    </row>
    <row r="12" spans="3:20" ht="15.75" thickBot="1">
      <c r="C12" s="36">
        <v>1992</v>
      </c>
      <c r="D12" s="36">
        <v>1993</v>
      </c>
      <c r="E12" s="36">
        <v>1994</v>
      </c>
      <c r="F12" s="37">
        <v>1995</v>
      </c>
      <c r="G12" s="36">
        <v>1996</v>
      </c>
      <c r="H12" s="36">
        <v>1997</v>
      </c>
      <c r="I12" s="36">
        <v>1998</v>
      </c>
      <c r="J12" s="36">
        <v>1999</v>
      </c>
      <c r="K12" s="36">
        <v>2000</v>
      </c>
      <c r="L12" s="36">
        <v>2001</v>
      </c>
      <c r="M12" s="36">
        <v>2002</v>
      </c>
      <c r="N12" s="36">
        <v>2003</v>
      </c>
      <c r="O12" s="36">
        <v>2004</v>
      </c>
      <c r="P12" s="36">
        <v>2005</v>
      </c>
      <c r="Q12" s="36">
        <v>2006</v>
      </c>
      <c r="R12" s="36">
        <v>2007</v>
      </c>
      <c r="S12" s="36">
        <v>2008</v>
      </c>
      <c r="T12" s="36">
        <v>2009</v>
      </c>
    </row>
    <row r="13" spans="1:20" ht="15">
      <c r="A13" t="s">
        <v>19</v>
      </c>
      <c r="B13" t="s">
        <v>17</v>
      </c>
      <c r="C13">
        <f>'[3]ODA-global-recip-constant'!AI12</f>
        <v>17.46</v>
      </c>
      <c r="D13">
        <f>'[3]ODA-global-recip-constant'!AJ12</f>
        <v>68.85</v>
      </c>
      <c r="E13">
        <f>'[3]ODA-global-recip-constant'!AK12</f>
        <v>638.27</v>
      </c>
      <c r="F13" s="38">
        <f>'[3]ODA-global-recip-constant'!AL12</f>
        <v>1231.77</v>
      </c>
      <c r="G13">
        <f>'[3]ODA-global-recip-constant'!AM12</f>
        <v>1149.06</v>
      </c>
      <c r="H13">
        <f>'[3]ODA-global-recip-constant'!AN12</f>
        <v>1252.93</v>
      </c>
      <c r="I13">
        <f>'[3]ODA-global-recip-constant'!AO12</f>
        <v>1342.71</v>
      </c>
      <c r="J13">
        <f>'[3]ODA-global-recip-constant'!AP12</f>
        <v>1303.59</v>
      </c>
      <c r="K13">
        <f>'[3]ODA-global-recip-constant'!AQ12</f>
        <v>1036.47</v>
      </c>
      <c r="L13">
        <f>'[3]ODA-global-recip-constant'!AR12</f>
        <v>1054.32</v>
      </c>
      <c r="M13">
        <f>'[3]ODA-global-recip-constant'!AS12</f>
        <v>875.27</v>
      </c>
      <c r="N13">
        <f>'[3]ODA-global-recip-constant'!AT12</f>
        <v>697.6</v>
      </c>
      <c r="O13">
        <f>'[3]ODA-global-recip-constant'!AU12</f>
        <v>833.28</v>
      </c>
      <c r="P13">
        <f>'[3]ODA-global-recip-constant'!AV12</f>
        <v>638.81</v>
      </c>
      <c r="Q13">
        <f>'[3]ODA-global-recip-constant'!AW12</f>
        <v>567.35</v>
      </c>
      <c r="R13">
        <f>'[3]ODA-global-recip-constant'!AX12</f>
        <v>475.72</v>
      </c>
      <c r="S13">
        <f>'[3]ODA-global-recip-constant'!AY12</f>
        <v>456.28</v>
      </c>
      <c r="T13">
        <f>'[3]ODA-global-recip-constant'!AZ12</f>
        <v>431.69</v>
      </c>
    </row>
    <row r="14" spans="2:21" ht="15">
      <c r="B14" t="s">
        <v>18</v>
      </c>
      <c r="C14" s="39">
        <f>C13/'[3]Population'!$B$24</f>
        <v>5.103770827243497</v>
      </c>
      <c r="D14" s="39">
        <f>D13/'[3]Population'!$B$24</f>
        <v>20.125694241449867</v>
      </c>
      <c r="E14" s="39">
        <f>E13/'[3]Population'!$B$24</f>
        <v>186.57410114001755</v>
      </c>
      <c r="F14" s="40">
        <f>F13/'[3]Population'!B24</f>
        <v>360.0613855597779</v>
      </c>
      <c r="G14" s="39">
        <f>G13/'[3]Population'!C24</f>
        <v>328.8478049338905</v>
      </c>
      <c r="H14" s="39">
        <f>H13/'[3]Population'!D24</f>
        <v>351.21657229354713</v>
      </c>
      <c r="I14" s="39">
        <f>I13/'[3]Population'!E24</f>
        <v>368.81557984947534</v>
      </c>
      <c r="J14" s="39">
        <f>J13/'[3]Population'!F24</f>
        <v>351.01244008831924</v>
      </c>
      <c r="K14" s="39">
        <f>K13/'[3]Population'!G24</f>
        <v>273.69157644573545</v>
      </c>
      <c r="L14" s="39">
        <f>L13/'[3]Population'!H24</f>
        <v>276.53569742432984</v>
      </c>
      <c r="M14" s="39">
        <f>M13/'[3]Population'!I24</f>
        <v>228.04179042259395</v>
      </c>
      <c r="N14" s="39">
        <f>N13/'[3]Population'!J24</f>
        <v>180.54764739375744</v>
      </c>
      <c r="O14" s="39">
        <f>O13/'[3]Population'!K24</f>
        <v>214.2438422378773</v>
      </c>
      <c r="P14" s="39">
        <f>P13/'[3]Population'!L24</f>
        <v>163.1698595146871</v>
      </c>
      <c r="Q14" s="39">
        <f>Q13/'[3]Population'!M24</f>
        <v>144.71737577798186</v>
      </c>
      <c r="R14" s="39">
        <f>R13/'[3]Population'!N24</f>
        <v>121.17784910082021</v>
      </c>
      <c r="S14" s="39">
        <f>S13/'[3]Population'!O24</f>
        <v>116.06634106634105</v>
      </c>
      <c r="T14" s="39">
        <f>T13/'[3]Population'!P24</f>
        <v>109.66062084031905</v>
      </c>
      <c r="U14" s="39"/>
    </row>
    <row r="15" spans="2:6" ht="15">
      <c r="B15" s="38"/>
      <c r="F15" s="38"/>
    </row>
    <row r="16" spans="3:15" ht="15.75" thickBot="1">
      <c r="C16" s="36">
        <v>1997</v>
      </c>
      <c r="D16" s="36">
        <v>1998</v>
      </c>
      <c r="E16" s="36">
        <v>1999</v>
      </c>
      <c r="F16" s="37">
        <v>2000</v>
      </c>
      <c r="G16" s="36">
        <v>2001</v>
      </c>
      <c r="H16" s="36">
        <v>2002</v>
      </c>
      <c r="I16" s="36">
        <v>2003</v>
      </c>
      <c r="J16" s="36">
        <v>2004</v>
      </c>
      <c r="K16" s="36">
        <v>2005</v>
      </c>
      <c r="L16" s="36">
        <v>2006</v>
      </c>
      <c r="M16" s="36">
        <v>2007</v>
      </c>
      <c r="N16" s="36">
        <v>2008</v>
      </c>
      <c r="O16" s="36">
        <v>2009</v>
      </c>
    </row>
    <row r="17" spans="1:15" ht="15">
      <c r="A17" t="s">
        <v>20</v>
      </c>
      <c r="B17" t="s">
        <v>17</v>
      </c>
      <c r="C17">
        <f>'[3]ODA-global-recip-constant'!AN223</f>
        <v>173.16</v>
      </c>
      <c r="D17">
        <f>'[3]ODA-global-recip-constant'!AO223</f>
        <v>158.34</v>
      </c>
      <c r="E17">
        <f>'[3]ODA-global-recip-constant'!AP223</f>
        <v>110.29</v>
      </c>
      <c r="F17" s="38">
        <f>'[3]ODA-global-recip-constant'!AQ223</f>
        <v>285</v>
      </c>
      <c r="G17">
        <f>'[3]ODA-global-recip-constant'!AR223</f>
        <v>538.14</v>
      </c>
      <c r="H17">
        <f>'[3]ODA-global-recip-constant'!AS223</f>
        <v>531.44</v>
      </c>
      <c r="I17">
        <f>'[3]ODA-global-recip-constant'!AT223</f>
        <v>399.23</v>
      </c>
      <c r="J17">
        <f>'[3]ODA-global-recip-constant'!AU223</f>
        <v>441.64</v>
      </c>
      <c r="K17">
        <f>'[3]ODA-global-recip-constant'!AV223</f>
        <v>393.24</v>
      </c>
      <c r="L17">
        <f>'[3]ODA-global-recip-constant'!AW223</f>
        <v>351.99</v>
      </c>
      <c r="M17">
        <f>'[3]ODA-global-recip-constant'!AX223</f>
        <v>356.93</v>
      </c>
      <c r="N17">
        <f>'[3]ODA-global-recip-constant'!AY223</f>
        <v>366.68</v>
      </c>
      <c r="O17">
        <f>'[3]ODA-global-recip-constant'!AZ223</f>
        <v>454.93</v>
      </c>
    </row>
    <row r="18" spans="2:15" ht="15">
      <c r="B18" t="s">
        <v>18</v>
      </c>
      <c r="C18" s="39">
        <f>C17/'[3]Population'!D144</f>
        <v>40.324158166829676</v>
      </c>
      <c r="D18" s="39">
        <f>D17/'[3]Population'!E144</f>
        <v>36.23506796649732</v>
      </c>
      <c r="E18" s="39">
        <f>E17/'[3]Population'!F144</f>
        <v>24.809915868088368</v>
      </c>
      <c r="F18" s="40">
        <f>F17/'[3]Population'!G144</f>
        <v>63.03915063039151</v>
      </c>
      <c r="G18" s="39">
        <f>G17/'[3]Population'!H144</f>
        <v>113.67553865652725</v>
      </c>
      <c r="H18" s="39">
        <f>H17/'[3]Population'!I144</f>
        <v>107.42672326662625</v>
      </c>
      <c r="I18" s="39">
        <f>I17/'[3]Population'!J144</f>
        <v>77.37015503875969</v>
      </c>
      <c r="J18" s="39">
        <f>J17/'[3]Population'!K144</f>
        <v>82.19616601526148</v>
      </c>
      <c r="K18" s="39">
        <f>K17/'[3]Population'!L144</f>
        <v>70.39742212674544</v>
      </c>
      <c r="L18" s="39">
        <f>L17/'[3]Population'!M144</f>
        <v>61.689859441270286</v>
      </c>
      <c r="M18" s="39">
        <f>M17/'[3]Population'!N144</f>
        <v>61.26922548750343</v>
      </c>
      <c r="N18" s="39">
        <f>N17/'[3]Population'!O144</f>
        <v>61.67457193796886</v>
      </c>
      <c r="O18" s="39">
        <f>O17/'[3]Population'!P144</f>
        <v>75.00659500098925</v>
      </c>
    </row>
    <row r="40" ht="15">
      <c r="C40" s="288" t="s">
        <v>508</v>
      </c>
    </row>
    <row r="41" ht="15">
      <c r="C41" s="288" t="s">
        <v>461</v>
      </c>
    </row>
  </sheetData>
  <sheetProtection/>
  <mergeCells count="4">
    <mergeCell ref="A1:B1"/>
    <mergeCell ref="C1:F1"/>
    <mergeCell ref="A2:B2"/>
    <mergeCell ref="C2:F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7">
      <selection activeCell="I27" sqref="I27"/>
    </sheetView>
  </sheetViews>
  <sheetFormatPr defaultColWidth="9.140625" defaultRowHeight="15"/>
  <cols>
    <col min="1" max="1" width="22.8515625" style="0" customWidth="1"/>
    <col min="2" max="2" width="10.57421875" style="0" customWidth="1"/>
    <col min="4" max="4" width="11.57421875" style="0" customWidth="1"/>
    <col min="5" max="5" width="10.00390625" style="0" customWidth="1"/>
  </cols>
  <sheetData>
    <row r="2" spans="1:6" ht="135">
      <c r="A2" s="185"/>
      <c r="B2" s="146" t="s">
        <v>374</v>
      </c>
      <c r="C2" s="146" t="s">
        <v>372</v>
      </c>
      <c r="D2" s="146" t="s">
        <v>266</v>
      </c>
      <c r="E2" s="143" t="s">
        <v>510</v>
      </c>
      <c r="F2" s="148" t="s">
        <v>373</v>
      </c>
    </row>
    <row r="3" spans="1:6" ht="15">
      <c r="A3" s="185"/>
      <c r="B3" s="146" t="s">
        <v>367</v>
      </c>
      <c r="C3" s="146"/>
      <c r="D3" s="146" t="s">
        <v>367</v>
      </c>
      <c r="E3" s="143"/>
      <c r="F3" s="213"/>
    </row>
    <row r="4" spans="1:6" ht="15">
      <c r="A4" s="185" t="s">
        <v>125</v>
      </c>
      <c r="B4" s="306">
        <f>SUM('[3]ODA-excl-debt-current'!$AS$37:$AZ$37)</f>
        <v>10926.07</v>
      </c>
      <c r="C4" s="150">
        <f>B4/('3.Aid'!$J$5*1000)</f>
        <v>0.40914642124968525</v>
      </c>
      <c r="D4" s="306">
        <f>'[5]Imputed-mutilat-ODA-current'!$N$37</f>
        <v>278.05</v>
      </c>
      <c r="E4" s="144">
        <v>0.07708132155477679</v>
      </c>
      <c r="F4" s="155">
        <v>0.6900147203140333</v>
      </c>
    </row>
    <row r="5" spans="1:6" ht="15">
      <c r="A5" s="185" t="s">
        <v>233</v>
      </c>
      <c r="B5" s="306">
        <f>SUM('[3]ODA-excl-debt-current'!$AS$38:$AZ$38)</f>
        <v>2093.4</v>
      </c>
      <c r="C5" s="150">
        <f>B5/('3.Aid'!$J$5*1000)</f>
        <v>0.07839114322387566</v>
      </c>
      <c r="D5" s="306">
        <f>'[5]Imputed-mutilat-ODA-current'!$N$38</f>
        <v>23.5</v>
      </c>
      <c r="E5" s="144">
        <v>0.3105725457411153</v>
      </c>
      <c r="F5" s="152">
        <v>0</v>
      </c>
    </row>
    <row r="6" spans="1:6" ht="15">
      <c r="A6" s="185" t="s">
        <v>124</v>
      </c>
      <c r="B6" s="306">
        <f>SUM('[3]ODA-excl-debt-current'!$AS$36:$AZ$36)</f>
        <v>1835.2399999999998</v>
      </c>
      <c r="C6" s="150">
        <f>B6/('3.Aid'!$J$5*1000)</f>
        <v>0.06872387584321465</v>
      </c>
      <c r="D6" s="306">
        <f>'[5]Imputed-mutilat-ODA-current'!$N$36</f>
        <v>522.21</v>
      </c>
      <c r="E6" s="144">
        <v>0.4404459062423302</v>
      </c>
      <c r="F6" s="155">
        <v>0.07283488714425908</v>
      </c>
    </row>
    <row r="7" spans="1:6" ht="15">
      <c r="A7" s="185" t="s">
        <v>110</v>
      </c>
      <c r="B7" s="306">
        <f>SUM('[3]ODA-excl-debt-current'!$AS$22:$AZ$22)</f>
        <v>1283</v>
      </c>
      <c r="C7" s="150">
        <f>B7/('3.Aid'!$J$5*1000)</f>
        <v>0.04804425181820602</v>
      </c>
      <c r="D7" s="306">
        <f>'[5]Imputed-mutilat-ODA-current'!$N$22</f>
        <v>638.0200000000001</v>
      </c>
      <c r="E7" s="144">
        <v>0.19471141173031956</v>
      </c>
      <c r="F7" s="155">
        <v>0.033642051030421984</v>
      </c>
    </row>
    <row r="8" spans="1:6" ht="15">
      <c r="A8" s="185" t="s">
        <v>106</v>
      </c>
      <c r="B8" s="306">
        <f>SUM('[3]ODA-excl-debt-current'!$AS$18:$AZ$18)</f>
        <v>1180.75</v>
      </c>
      <c r="C8" s="150">
        <f>B8/('3.Aid'!$J$5*1000)</f>
        <v>0.044215315927004485</v>
      </c>
      <c r="D8" s="306">
        <f>'[5]Imputed-mutilat-ODA-current'!$N$18</f>
        <v>79.97</v>
      </c>
      <c r="E8" s="144">
        <v>0.4383900153800551</v>
      </c>
      <c r="F8" s="155">
        <v>0.02240247791952895</v>
      </c>
    </row>
    <row r="9" spans="1:6" ht="15">
      <c r="A9" s="185" t="s">
        <v>114</v>
      </c>
      <c r="B9" s="306">
        <f>SUM('[3]ODA-excl-debt-current'!$AS$26:$AZ$26)</f>
        <v>996.6899999999999</v>
      </c>
      <c r="C9" s="150">
        <f>B9/('3.Aid'!$J$5*1000)</f>
        <v>0.037322856854783905</v>
      </c>
      <c r="D9" s="306">
        <f>'[5]Imputed-mutilat-ODA-current'!$N$26</f>
        <v>362.05999999999995</v>
      </c>
      <c r="E9" s="144">
        <v>0.1551363974756444</v>
      </c>
      <c r="F9" s="155">
        <v>0</v>
      </c>
    </row>
    <row r="10" spans="1:6" ht="15">
      <c r="A10" s="185" t="s">
        <v>117</v>
      </c>
      <c r="B10" s="306">
        <f>SUM('[3]ODA-excl-debt-current'!$AS$29:$AZ$29)</f>
        <v>771.1099999999999</v>
      </c>
      <c r="C10" s="150">
        <f>B10/('3.Aid'!$J$5*1000)</f>
        <v>0.028875606406497924</v>
      </c>
      <c r="D10" s="306">
        <f>'[5]Imputed-mutilat-ODA-current'!$N$29</f>
        <v>212.2</v>
      </c>
      <c r="E10" s="144">
        <v>0.4497811237935199</v>
      </c>
      <c r="F10" s="155">
        <v>0.0029133954857703632</v>
      </c>
    </row>
    <row r="11" spans="1:6" ht="15">
      <c r="A11" s="185" t="s">
        <v>119</v>
      </c>
      <c r="B11" s="306">
        <f>SUM('[3]ODA-excl-debt-current'!$AS$31:$AZ$31)</f>
        <v>666.4000000000001</v>
      </c>
      <c r="C11" s="150">
        <f>B11/('3.Aid'!$J$5*1000)</f>
        <v>0.024954551373072873</v>
      </c>
      <c r="D11" s="306">
        <f>'[5]Imputed-mutilat-ODA-current'!$N$31</f>
        <v>86.17</v>
      </c>
      <c r="E11" s="144">
        <v>0.2666369102641056</v>
      </c>
      <c r="F11" s="155">
        <v>0.0026910574092247302</v>
      </c>
    </row>
    <row r="12" spans="1:6" ht="15">
      <c r="A12" s="185" t="s">
        <v>351</v>
      </c>
      <c r="B12" s="306">
        <f>'[4]5.Aid-non-DAC'!$N$8</f>
        <v>433.74772425000003</v>
      </c>
      <c r="C12" s="150">
        <f>B12/('3.Aid'!$J$5*1000)</f>
        <v>0.016242466788340442</v>
      </c>
      <c r="D12" s="214" t="s">
        <v>270</v>
      </c>
      <c r="E12" s="144">
        <v>0.003326818607509962</v>
      </c>
      <c r="F12" s="152">
        <v>0</v>
      </c>
    </row>
    <row r="13" spans="1:6" ht="15">
      <c r="A13" s="185" t="s">
        <v>122</v>
      </c>
      <c r="B13" s="306">
        <f>SUM('[3]ODA-excl-debt-current'!$AS$34:$AZ$34)</f>
        <v>425.83</v>
      </c>
      <c r="C13" s="150">
        <f>B13/('3.Aid'!$J$5*1000)</f>
        <v>0.015945973306115874</v>
      </c>
      <c r="D13" s="306">
        <f>'[3]ODA-excl-debt-current'!$AZ$34</f>
        <v>80.07</v>
      </c>
      <c r="E13" s="144">
        <v>0.25683840969400934</v>
      </c>
      <c r="F13" s="155">
        <v>0.003833415112855741</v>
      </c>
    </row>
    <row r="14" spans="1:6" ht="15">
      <c r="A14" s="185" t="s">
        <v>113</v>
      </c>
      <c r="B14" s="306">
        <f>SUM('[3]ODA-excl-debt-current'!$AS$25:$AZ$25)</f>
        <v>409.86</v>
      </c>
      <c r="C14" s="150">
        <v>0.01534794781777858</v>
      </c>
      <c r="D14" s="306">
        <f>'[5]Imputed-mutilat-ODA-current'!$N$25</f>
        <v>360.76</v>
      </c>
      <c r="E14" s="144">
        <v>0.20121303251735903</v>
      </c>
      <c r="F14" s="155">
        <v>0.02530053974484789</v>
      </c>
    </row>
    <row r="16" ht="15">
      <c r="A16" s="288" t="s">
        <v>509</v>
      </c>
    </row>
    <row r="17" ht="15">
      <c r="A17" s="288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12"/>
  <sheetViews>
    <sheetView zoomScalePageLayoutView="0" workbookViewId="0" topLeftCell="A99">
      <selection activeCell="A108" sqref="A108"/>
    </sheetView>
  </sheetViews>
  <sheetFormatPr defaultColWidth="9.140625" defaultRowHeight="15"/>
  <cols>
    <col min="1" max="1" width="27.421875" style="0" customWidth="1"/>
    <col min="2" max="2" width="2.421875" style="0" customWidth="1"/>
    <col min="3" max="43" width="0" style="0" hidden="1" customWidth="1"/>
  </cols>
  <sheetData>
    <row r="1" spans="1:2" ht="15" hidden="1">
      <c r="A1" s="53" t="e">
        <f>DotStatQuery(B1)</f>
        <v>#NAME?</v>
      </c>
      <c r="B1" s="53" t="s">
        <v>37</v>
      </c>
    </row>
    <row r="2" ht="24">
      <c r="A2" s="54" t="s">
        <v>38</v>
      </c>
    </row>
    <row r="3" spans="1:52" ht="15">
      <c r="A3" s="327" t="s">
        <v>39</v>
      </c>
      <c r="B3" s="328"/>
      <c r="C3" s="331" t="s">
        <v>40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3"/>
    </row>
    <row r="4" spans="1:52" ht="15">
      <c r="A4" s="327" t="s">
        <v>12</v>
      </c>
      <c r="B4" s="328"/>
      <c r="C4" s="331" t="s">
        <v>13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3"/>
    </row>
    <row r="5" spans="1:52" ht="15">
      <c r="A5" s="327" t="s">
        <v>41</v>
      </c>
      <c r="B5" s="328"/>
      <c r="C5" s="331" t="s">
        <v>3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3"/>
    </row>
    <row r="6" spans="1:52" ht="15">
      <c r="A6" s="327" t="s">
        <v>14</v>
      </c>
      <c r="B6" s="328"/>
      <c r="C6" s="331" t="s">
        <v>42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3"/>
    </row>
    <row r="7" spans="1:52" ht="15">
      <c r="A7" s="334" t="s">
        <v>43</v>
      </c>
      <c r="B7" s="335"/>
      <c r="C7" s="55" t="s">
        <v>44</v>
      </c>
      <c r="D7" s="55" t="s">
        <v>45</v>
      </c>
      <c r="E7" s="55" t="s">
        <v>46</v>
      </c>
      <c r="F7" s="55" t="s">
        <v>47</v>
      </c>
      <c r="G7" s="55" t="s">
        <v>48</v>
      </c>
      <c r="H7" s="55" t="s">
        <v>49</v>
      </c>
      <c r="I7" s="55" t="s">
        <v>50</v>
      </c>
      <c r="J7" s="55" t="s">
        <v>51</v>
      </c>
      <c r="K7" s="55" t="s">
        <v>52</v>
      </c>
      <c r="L7" s="55" t="s">
        <v>53</v>
      </c>
      <c r="M7" s="55" t="s">
        <v>54</v>
      </c>
      <c r="N7" s="55" t="s">
        <v>55</v>
      </c>
      <c r="O7" s="55" t="s">
        <v>56</v>
      </c>
      <c r="P7" s="55" t="s">
        <v>57</v>
      </c>
      <c r="Q7" s="55" t="s">
        <v>58</v>
      </c>
      <c r="R7" s="55" t="s">
        <v>59</v>
      </c>
      <c r="S7" s="55" t="s">
        <v>60</v>
      </c>
      <c r="T7" s="55" t="s">
        <v>61</v>
      </c>
      <c r="U7" s="55" t="s">
        <v>62</v>
      </c>
      <c r="V7" s="55" t="s">
        <v>63</v>
      </c>
      <c r="W7" s="55" t="s">
        <v>64</v>
      </c>
      <c r="X7" s="55" t="s">
        <v>65</v>
      </c>
      <c r="Y7" s="55" t="s">
        <v>66</v>
      </c>
      <c r="Z7" s="55" t="s">
        <v>67</v>
      </c>
      <c r="AA7" s="55" t="s">
        <v>68</v>
      </c>
      <c r="AB7" s="55" t="s">
        <v>69</v>
      </c>
      <c r="AC7" s="55" t="s">
        <v>70</v>
      </c>
      <c r="AD7" s="55" t="s">
        <v>71</v>
      </c>
      <c r="AE7" s="55" t="s">
        <v>72</v>
      </c>
      <c r="AF7" s="55" t="s">
        <v>73</v>
      </c>
      <c r="AG7" s="55" t="s">
        <v>74</v>
      </c>
      <c r="AH7" s="55" t="s">
        <v>75</v>
      </c>
      <c r="AI7" s="55" t="s">
        <v>76</v>
      </c>
      <c r="AJ7" s="55" t="s">
        <v>77</v>
      </c>
      <c r="AK7" s="55" t="s">
        <v>78</v>
      </c>
      <c r="AL7" s="55" t="s">
        <v>79</v>
      </c>
      <c r="AM7" s="55" t="s">
        <v>80</v>
      </c>
      <c r="AN7" s="55" t="s">
        <v>81</v>
      </c>
      <c r="AO7" s="55" t="s">
        <v>82</v>
      </c>
      <c r="AP7" s="55" t="s">
        <v>83</v>
      </c>
      <c r="AQ7" s="55" t="s">
        <v>84</v>
      </c>
      <c r="AR7" s="55" t="s">
        <v>85</v>
      </c>
      <c r="AS7" s="55" t="s">
        <v>86</v>
      </c>
      <c r="AT7" s="55" t="s">
        <v>87</v>
      </c>
      <c r="AU7" s="55" t="s">
        <v>88</v>
      </c>
      <c r="AV7" s="56" t="s">
        <v>89</v>
      </c>
      <c r="AW7" s="55" t="s">
        <v>90</v>
      </c>
      <c r="AX7" s="55" t="s">
        <v>91</v>
      </c>
      <c r="AY7" s="55" t="s">
        <v>92</v>
      </c>
      <c r="AZ7" s="55" t="s">
        <v>93</v>
      </c>
    </row>
    <row r="8" spans="1:52" ht="15">
      <c r="A8" s="57" t="s">
        <v>94</v>
      </c>
      <c r="B8" s="58" t="s">
        <v>95</v>
      </c>
      <c r="C8" s="58" t="s">
        <v>95</v>
      </c>
      <c r="D8" s="58" t="s">
        <v>95</v>
      </c>
      <c r="E8" s="58" t="s">
        <v>95</v>
      </c>
      <c r="F8" s="58" t="s">
        <v>95</v>
      </c>
      <c r="G8" s="58" t="s">
        <v>95</v>
      </c>
      <c r="H8" s="58" t="s">
        <v>95</v>
      </c>
      <c r="I8" s="58" t="s">
        <v>95</v>
      </c>
      <c r="J8" s="58" t="s">
        <v>95</v>
      </c>
      <c r="K8" s="58" t="s">
        <v>95</v>
      </c>
      <c r="L8" s="58" t="s">
        <v>95</v>
      </c>
      <c r="M8" s="58" t="s">
        <v>95</v>
      </c>
      <c r="N8" s="58" t="s">
        <v>95</v>
      </c>
      <c r="O8" s="58" t="s">
        <v>95</v>
      </c>
      <c r="P8" s="58" t="s">
        <v>95</v>
      </c>
      <c r="Q8" s="58" t="s">
        <v>95</v>
      </c>
      <c r="R8" s="58" t="s">
        <v>95</v>
      </c>
      <c r="S8" s="58" t="s">
        <v>95</v>
      </c>
      <c r="T8" s="58" t="s">
        <v>95</v>
      </c>
      <c r="U8" s="58" t="s">
        <v>95</v>
      </c>
      <c r="V8" s="58" t="s">
        <v>95</v>
      </c>
      <c r="W8" s="58" t="s">
        <v>95</v>
      </c>
      <c r="X8" s="58" t="s">
        <v>95</v>
      </c>
      <c r="Y8" s="58" t="s">
        <v>95</v>
      </c>
      <c r="Z8" s="58" t="s">
        <v>95</v>
      </c>
      <c r="AA8" s="58" t="s">
        <v>95</v>
      </c>
      <c r="AB8" s="58" t="s">
        <v>95</v>
      </c>
      <c r="AC8" s="58" t="s">
        <v>95</v>
      </c>
      <c r="AD8" s="58" t="s">
        <v>95</v>
      </c>
      <c r="AE8" s="58" t="s">
        <v>95</v>
      </c>
      <c r="AF8" s="58" t="s">
        <v>95</v>
      </c>
      <c r="AG8" s="58" t="s">
        <v>95</v>
      </c>
      <c r="AH8" s="58" t="s">
        <v>95</v>
      </c>
      <c r="AI8" s="58" t="s">
        <v>95</v>
      </c>
      <c r="AJ8" s="58" t="s">
        <v>95</v>
      </c>
      <c r="AK8" s="58" t="s">
        <v>95</v>
      </c>
      <c r="AL8" s="58" t="s">
        <v>95</v>
      </c>
      <c r="AM8" s="58" t="s">
        <v>95</v>
      </c>
      <c r="AN8" s="58" t="s">
        <v>95</v>
      </c>
      <c r="AO8" s="58" t="s">
        <v>95</v>
      </c>
      <c r="AP8" s="58" t="s">
        <v>95</v>
      </c>
      <c r="AQ8" s="58" t="s">
        <v>95</v>
      </c>
      <c r="AR8" s="58" t="s">
        <v>95</v>
      </c>
      <c r="AS8" s="58" t="s">
        <v>95</v>
      </c>
      <c r="AT8" s="58" t="s">
        <v>95</v>
      </c>
      <c r="AU8" s="58" t="s">
        <v>95</v>
      </c>
      <c r="AV8" s="58" t="s">
        <v>95</v>
      </c>
      <c r="AW8" s="58" t="s">
        <v>95</v>
      </c>
      <c r="AX8" s="58" t="s">
        <v>95</v>
      </c>
      <c r="AY8" s="58" t="s">
        <v>95</v>
      </c>
      <c r="AZ8" s="58" t="s">
        <v>95</v>
      </c>
    </row>
    <row r="9" spans="1:57" ht="15">
      <c r="A9" s="59" t="s">
        <v>96</v>
      </c>
      <c r="B9" s="58" t="s">
        <v>95</v>
      </c>
      <c r="C9" s="60">
        <v>17.18</v>
      </c>
      <c r="D9" s="60">
        <v>34.67</v>
      </c>
      <c r="E9" s="60">
        <v>16.93</v>
      </c>
      <c r="F9" s="60">
        <v>36.67</v>
      </c>
      <c r="G9" s="60">
        <v>46.17</v>
      </c>
      <c r="H9" s="60">
        <v>53.93</v>
      </c>
      <c r="I9" s="60">
        <v>50.36</v>
      </c>
      <c r="J9" s="60">
        <v>40.6</v>
      </c>
      <c r="K9" s="60">
        <v>29.24</v>
      </c>
      <c r="L9" s="60">
        <v>27.25</v>
      </c>
      <c r="M9" s="60">
        <v>27.61</v>
      </c>
      <c r="N9" s="60">
        <v>44.44</v>
      </c>
      <c r="O9" s="60">
        <v>55.18</v>
      </c>
      <c r="P9" s="60">
        <v>55.95</v>
      </c>
      <c r="Q9" s="60">
        <v>49.18</v>
      </c>
      <c r="R9" s="60">
        <v>69.45</v>
      </c>
      <c r="S9" s="60">
        <v>71.43</v>
      </c>
      <c r="T9" s="60">
        <v>85.61</v>
      </c>
      <c r="U9" s="60">
        <v>82.52</v>
      </c>
      <c r="V9" s="60">
        <v>105.47</v>
      </c>
      <c r="W9" s="60">
        <v>31.81</v>
      </c>
      <c r="X9" s="60">
        <v>22.91</v>
      </c>
      <c r="Y9" s="60">
        <v>9.23</v>
      </c>
      <c r="Z9" s="60">
        <v>13.28</v>
      </c>
      <c r="AA9" s="60">
        <v>6.5</v>
      </c>
      <c r="AB9" s="60">
        <v>16.32</v>
      </c>
      <c r="AC9" s="60">
        <v>1.91</v>
      </c>
      <c r="AD9" s="60">
        <v>44.88</v>
      </c>
      <c r="AE9" s="60">
        <v>71.86</v>
      </c>
      <c r="AF9" s="60">
        <v>148.25</v>
      </c>
      <c r="AG9" s="60">
        <v>121.65</v>
      </c>
      <c r="AH9" s="60">
        <v>507.45</v>
      </c>
      <c r="AI9" s="60">
        <v>201.93</v>
      </c>
      <c r="AJ9" s="60">
        <v>223.74</v>
      </c>
      <c r="AK9" s="60">
        <v>226.36</v>
      </c>
      <c r="AL9" s="60">
        <v>212.47</v>
      </c>
      <c r="AM9" s="60">
        <v>169.32</v>
      </c>
      <c r="AN9" s="60">
        <v>229.69</v>
      </c>
      <c r="AO9" s="60">
        <v>154.2</v>
      </c>
      <c r="AP9" s="60">
        <v>142.49</v>
      </c>
      <c r="AQ9" s="60">
        <v>135.97</v>
      </c>
      <c r="AR9" s="60">
        <v>404.64</v>
      </c>
      <c r="AS9" s="60">
        <v>1284.73</v>
      </c>
      <c r="AT9" s="60">
        <v>1590.7</v>
      </c>
      <c r="AU9" s="60">
        <v>2303.1</v>
      </c>
      <c r="AV9" s="60">
        <v>2817.89</v>
      </c>
      <c r="AW9" s="60">
        <v>2955.78</v>
      </c>
      <c r="AX9" s="60">
        <v>3906.19</v>
      </c>
      <c r="AY9" s="60">
        <v>4858.38</v>
      </c>
      <c r="AZ9" s="60">
        <v>6068.37</v>
      </c>
      <c r="BA9">
        <f>SUM(AR9:AZ9)</f>
        <v>26189.78</v>
      </c>
      <c r="BB9">
        <f>AZ9-AY9</f>
        <v>1209.9899999999998</v>
      </c>
      <c r="BE9">
        <f>36-(25.5+1.6)</f>
        <v>8.899999999999999</v>
      </c>
    </row>
    <row r="10" spans="1:54" ht="15">
      <c r="A10" s="59" t="s">
        <v>97</v>
      </c>
      <c r="B10" s="58" t="s">
        <v>95</v>
      </c>
      <c r="C10" s="61">
        <v>15.67</v>
      </c>
      <c r="D10" s="61">
        <v>33.55</v>
      </c>
      <c r="E10" s="61">
        <v>15.26</v>
      </c>
      <c r="F10" s="61">
        <v>34.88</v>
      </c>
      <c r="G10" s="61">
        <v>44.22</v>
      </c>
      <c r="H10" s="61">
        <v>51.17</v>
      </c>
      <c r="I10" s="61">
        <v>46.96</v>
      </c>
      <c r="J10" s="61">
        <v>37.08</v>
      </c>
      <c r="K10" s="61">
        <v>24.5</v>
      </c>
      <c r="L10" s="61">
        <v>22.52</v>
      </c>
      <c r="M10" s="61">
        <v>21.35</v>
      </c>
      <c r="N10" s="61">
        <v>37.94</v>
      </c>
      <c r="O10" s="61">
        <v>40.95</v>
      </c>
      <c r="P10" s="61">
        <v>43.24</v>
      </c>
      <c r="Q10" s="61">
        <v>16.9</v>
      </c>
      <c r="R10" s="61">
        <v>32.55</v>
      </c>
      <c r="S10" s="61">
        <v>34.78</v>
      </c>
      <c r="T10" s="61">
        <v>27.6</v>
      </c>
      <c r="U10" s="61">
        <v>32</v>
      </c>
      <c r="V10" s="61">
        <v>46.96</v>
      </c>
      <c r="W10" s="61">
        <v>11.43</v>
      </c>
      <c r="X10" s="61">
        <v>-7.86</v>
      </c>
      <c r="Y10" s="61">
        <v>0.45</v>
      </c>
      <c r="Z10" s="61">
        <v>5.36</v>
      </c>
      <c r="AA10" s="61">
        <v>-0.96</v>
      </c>
      <c r="AB10" s="61">
        <v>6.9</v>
      </c>
      <c r="AC10" s="61">
        <v>-1.66</v>
      </c>
      <c r="AD10" s="61">
        <v>37.73</v>
      </c>
      <c r="AE10" s="61">
        <v>66.77</v>
      </c>
      <c r="AF10" s="61">
        <v>82.29</v>
      </c>
      <c r="AG10" s="61">
        <v>100.37</v>
      </c>
      <c r="AH10" s="61">
        <v>101.79</v>
      </c>
      <c r="AI10" s="61">
        <v>126.81</v>
      </c>
      <c r="AJ10" s="61">
        <v>107.34</v>
      </c>
      <c r="AK10" s="61">
        <v>134.55</v>
      </c>
      <c r="AL10" s="61">
        <v>105.99</v>
      </c>
      <c r="AM10" s="61">
        <v>84.27</v>
      </c>
      <c r="AN10" s="61">
        <v>123.3</v>
      </c>
      <c r="AO10" s="61">
        <v>88.26</v>
      </c>
      <c r="AP10" s="61">
        <v>104.1</v>
      </c>
      <c r="AQ10" s="61">
        <v>87.51</v>
      </c>
      <c r="AR10" s="61">
        <v>322.86</v>
      </c>
      <c r="AS10" s="61">
        <v>987.7</v>
      </c>
      <c r="AT10" s="61">
        <v>1220.79</v>
      </c>
      <c r="AU10" s="61">
        <v>1722.6</v>
      </c>
      <c r="AV10" s="61">
        <v>2175.35</v>
      </c>
      <c r="AW10" s="61">
        <v>2406.72</v>
      </c>
      <c r="AX10" s="61">
        <v>2937.61</v>
      </c>
      <c r="AY10" s="61">
        <v>3949.55</v>
      </c>
      <c r="AZ10" s="61">
        <v>4923.88</v>
      </c>
      <c r="BA10">
        <f>SUM(AR10:AZ10)</f>
        <v>20647.06</v>
      </c>
      <c r="BB10">
        <f>BA10+BA11</f>
        <v>25509.36</v>
      </c>
    </row>
    <row r="11" spans="1:53" ht="15">
      <c r="A11" s="59" t="s">
        <v>98</v>
      </c>
      <c r="B11" s="58" t="s">
        <v>95</v>
      </c>
      <c r="C11" s="60">
        <v>1.51</v>
      </c>
      <c r="D11" s="60">
        <v>1.12</v>
      </c>
      <c r="E11" s="60">
        <v>1.67</v>
      </c>
      <c r="F11" s="60">
        <v>1.79</v>
      </c>
      <c r="G11" s="60">
        <v>1.95</v>
      </c>
      <c r="H11" s="60">
        <v>2.76</v>
      </c>
      <c r="I11" s="60">
        <v>3.4</v>
      </c>
      <c r="J11" s="60">
        <v>3.52</v>
      </c>
      <c r="K11" s="60">
        <v>4.74</v>
      </c>
      <c r="L11" s="60">
        <v>4.73</v>
      </c>
      <c r="M11" s="60">
        <v>6.26</v>
      </c>
      <c r="N11" s="60">
        <v>8.45</v>
      </c>
      <c r="O11" s="60">
        <v>14.23</v>
      </c>
      <c r="P11" s="60">
        <v>12.71</v>
      </c>
      <c r="Q11" s="60">
        <v>13.71</v>
      </c>
      <c r="R11" s="60">
        <v>18.37</v>
      </c>
      <c r="S11" s="60">
        <v>26.18</v>
      </c>
      <c r="T11" s="60">
        <v>49.39</v>
      </c>
      <c r="U11" s="60">
        <v>42.01</v>
      </c>
      <c r="V11" s="60">
        <v>50.18</v>
      </c>
      <c r="W11" s="60">
        <v>18.91</v>
      </c>
      <c r="X11" s="60">
        <v>10.27</v>
      </c>
      <c r="Y11" s="60">
        <v>8.34</v>
      </c>
      <c r="Z11" s="60">
        <v>10.03</v>
      </c>
      <c r="AA11" s="60">
        <v>8.16</v>
      </c>
      <c r="AB11" s="60">
        <v>10.9</v>
      </c>
      <c r="AC11" s="60">
        <v>6.91</v>
      </c>
      <c r="AD11" s="60">
        <v>8.41</v>
      </c>
      <c r="AE11" s="60">
        <v>5.72</v>
      </c>
      <c r="AF11" s="60">
        <v>67.64</v>
      </c>
      <c r="AG11" s="60">
        <v>22.66</v>
      </c>
      <c r="AH11" s="60">
        <v>30.33</v>
      </c>
      <c r="AI11" s="60">
        <v>71.63</v>
      </c>
      <c r="AJ11" s="60">
        <v>113.01</v>
      </c>
      <c r="AK11" s="60">
        <v>85.21</v>
      </c>
      <c r="AL11" s="60">
        <v>106.43</v>
      </c>
      <c r="AM11" s="60">
        <v>85.05</v>
      </c>
      <c r="AN11" s="60">
        <v>106.12</v>
      </c>
      <c r="AO11" s="60">
        <v>65.74</v>
      </c>
      <c r="AP11" s="60">
        <v>38.26</v>
      </c>
      <c r="AQ11" s="60">
        <v>47.82</v>
      </c>
      <c r="AR11" s="60">
        <v>76.3</v>
      </c>
      <c r="AS11" s="60">
        <v>290.5</v>
      </c>
      <c r="AT11" s="60">
        <v>362.78</v>
      </c>
      <c r="AU11" s="60">
        <v>550.39</v>
      </c>
      <c r="AV11" s="60">
        <v>603.93</v>
      </c>
      <c r="AW11" s="60">
        <v>473.2</v>
      </c>
      <c r="AX11" s="60">
        <v>850.99</v>
      </c>
      <c r="AY11" s="60">
        <v>702.27</v>
      </c>
      <c r="AZ11" s="60">
        <v>951.94</v>
      </c>
      <c r="BA11">
        <f>SUM(AR11:AZ11)</f>
        <v>4862.299999999999</v>
      </c>
    </row>
    <row r="12" spans="1:52" ht="15">
      <c r="A12" s="59" t="s">
        <v>99</v>
      </c>
      <c r="B12" s="58" t="s">
        <v>95</v>
      </c>
      <c r="C12" s="61" t="s">
        <v>100</v>
      </c>
      <c r="D12" s="61" t="s">
        <v>100</v>
      </c>
      <c r="E12" s="61" t="s">
        <v>100</v>
      </c>
      <c r="F12" s="61" t="s">
        <v>100</v>
      </c>
      <c r="G12" s="61" t="s">
        <v>100</v>
      </c>
      <c r="H12" s="61" t="s">
        <v>100</v>
      </c>
      <c r="I12" s="61" t="s">
        <v>100</v>
      </c>
      <c r="J12" s="61" t="s">
        <v>100</v>
      </c>
      <c r="K12" s="61" t="s">
        <v>100</v>
      </c>
      <c r="L12" s="61" t="s">
        <v>100</v>
      </c>
      <c r="M12" s="61" t="s">
        <v>100</v>
      </c>
      <c r="N12" s="61">
        <v>-1.95</v>
      </c>
      <c r="O12" s="61" t="s">
        <v>100</v>
      </c>
      <c r="P12" s="61" t="s">
        <v>100</v>
      </c>
      <c r="Q12" s="61">
        <v>18.57</v>
      </c>
      <c r="R12" s="61">
        <v>18.53</v>
      </c>
      <c r="S12" s="61">
        <v>10.47</v>
      </c>
      <c r="T12" s="61">
        <v>8.62</v>
      </c>
      <c r="U12" s="61">
        <v>8.51</v>
      </c>
      <c r="V12" s="61">
        <v>8.33</v>
      </c>
      <c r="W12" s="61">
        <v>1.47</v>
      </c>
      <c r="X12" s="61">
        <v>20.5</v>
      </c>
      <c r="Y12" s="61">
        <v>0.44</v>
      </c>
      <c r="Z12" s="61">
        <v>-2.11</v>
      </c>
      <c r="AA12" s="61">
        <v>-0.7</v>
      </c>
      <c r="AB12" s="61">
        <v>-1.48</v>
      </c>
      <c r="AC12" s="61">
        <v>-3.34</v>
      </c>
      <c r="AD12" s="61">
        <v>-1.26</v>
      </c>
      <c r="AE12" s="61">
        <v>-0.63</v>
      </c>
      <c r="AF12" s="61">
        <v>-1.68</v>
      </c>
      <c r="AG12" s="61">
        <v>-1.38</v>
      </c>
      <c r="AH12" s="61">
        <v>375.33</v>
      </c>
      <c r="AI12" s="61">
        <v>3.49</v>
      </c>
      <c r="AJ12" s="61">
        <v>3.39</v>
      </c>
      <c r="AK12" s="61">
        <v>6.6</v>
      </c>
      <c r="AL12" s="61">
        <v>0.05</v>
      </c>
      <c r="AM12" s="61" t="s">
        <v>100</v>
      </c>
      <c r="AN12" s="61">
        <v>0.27</v>
      </c>
      <c r="AO12" s="61">
        <v>0.2</v>
      </c>
      <c r="AP12" s="61">
        <v>0.13</v>
      </c>
      <c r="AQ12" s="61">
        <v>0.64</v>
      </c>
      <c r="AR12" s="61">
        <v>5.48</v>
      </c>
      <c r="AS12" s="61">
        <v>6.53</v>
      </c>
      <c r="AT12" s="61">
        <v>7.13</v>
      </c>
      <c r="AU12" s="61">
        <v>30.11</v>
      </c>
      <c r="AV12" s="61">
        <v>38.61</v>
      </c>
      <c r="AW12" s="61">
        <v>75.86</v>
      </c>
      <c r="AX12" s="61">
        <v>117.59</v>
      </c>
      <c r="AY12" s="61">
        <v>206.56</v>
      </c>
      <c r="AZ12" s="61">
        <v>192.55</v>
      </c>
    </row>
    <row r="13" spans="1:52" ht="15">
      <c r="A13" s="59" t="s">
        <v>101</v>
      </c>
      <c r="B13" s="58" t="s">
        <v>95</v>
      </c>
      <c r="C13" s="60">
        <v>15.67</v>
      </c>
      <c r="D13" s="60">
        <v>33.55</v>
      </c>
      <c r="E13" s="60">
        <v>15.26</v>
      </c>
      <c r="F13" s="60">
        <v>34.88</v>
      </c>
      <c r="G13" s="60">
        <v>44.2</v>
      </c>
      <c r="H13" s="60">
        <v>50.96</v>
      </c>
      <c r="I13" s="60">
        <v>46.88</v>
      </c>
      <c r="J13" s="60">
        <v>36.93</v>
      </c>
      <c r="K13" s="60">
        <v>24.14</v>
      </c>
      <c r="L13" s="60">
        <v>21.22</v>
      </c>
      <c r="M13" s="60">
        <v>20.64</v>
      </c>
      <c r="N13" s="60">
        <v>37.14</v>
      </c>
      <c r="O13" s="60">
        <v>39.65</v>
      </c>
      <c r="P13" s="60">
        <v>41.66</v>
      </c>
      <c r="Q13" s="60">
        <v>15.32</v>
      </c>
      <c r="R13" s="60">
        <v>30.26</v>
      </c>
      <c r="S13" s="60">
        <v>30.32</v>
      </c>
      <c r="T13" s="60">
        <v>23.74</v>
      </c>
      <c r="U13" s="60">
        <v>27.58</v>
      </c>
      <c r="V13" s="60">
        <v>45.79</v>
      </c>
      <c r="W13" s="60">
        <v>7.82</v>
      </c>
      <c r="X13" s="60">
        <v>-8.98</v>
      </c>
      <c r="Y13" s="60">
        <v>-1.6</v>
      </c>
      <c r="Z13" s="60">
        <v>-1.73</v>
      </c>
      <c r="AA13" s="60">
        <v>-2.79</v>
      </c>
      <c r="AB13" s="60">
        <v>4.95</v>
      </c>
      <c r="AC13" s="60">
        <v>-5.86</v>
      </c>
      <c r="AD13" s="60">
        <v>31.22</v>
      </c>
      <c r="AE13" s="60">
        <v>43.13</v>
      </c>
      <c r="AF13" s="60">
        <v>55.5</v>
      </c>
      <c r="AG13" s="60">
        <v>71.02</v>
      </c>
      <c r="AH13" s="60">
        <v>74.88</v>
      </c>
      <c r="AI13" s="60">
        <v>89.08</v>
      </c>
      <c r="AJ13" s="60">
        <v>70.23</v>
      </c>
      <c r="AK13" s="60">
        <v>92.02</v>
      </c>
      <c r="AL13" s="60">
        <v>39.68</v>
      </c>
      <c r="AM13" s="60">
        <v>35.06</v>
      </c>
      <c r="AN13" s="60">
        <v>43.61</v>
      </c>
      <c r="AO13" s="60">
        <v>28.66</v>
      </c>
      <c r="AP13" s="60">
        <v>65.1</v>
      </c>
      <c r="AQ13" s="60">
        <v>33.99</v>
      </c>
      <c r="AR13" s="60">
        <v>133.81</v>
      </c>
      <c r="AS13" s="60">
        <v>695.69</v>
      </c>
      <c r="AT13" s="60">
        <v>924.66</v>
      </c>
      <c r="AU13" s="60">
        <v>1358.53</v>
      </c>
      <c r="AV13" s="60">
        <v>1843.07</v>
      </c>
      <c r="AW13" s="60">
        <v>2063</v>
      </c>
      <c r="AX13" s="60">
        <v>2470.43</v>
      </c>
      <c r="AY13" s="60">
        <v>3275.15</v>
      </c>
      <c r="AZ13" s="60">
        <v>4162</v>
      </c>
    </row>
    <row r="14" spans="1:52" ht="15">
      <c r="A14" s="59" t="s">
        <v>102</v>
      </c>
      <c r="B14" s="58" t="s">
        <v>95</v>
      </c>
      <c r="C14" s="61">
        <v>0.66</v>
      </c>
      <c r="D14" s="61">
        <v>3.38</v>
      </c>
      <c r="E14" s="61">
        <v>2.15</v>
      </c>
      <c r="F14" s="61">
        <v>2.81</v>
      </c>
      <c r="G14" s="61">
        <v>7.12</v>
      </c>
      <c r="H14" s="61">
        <v>17.55</v>
      </c>
      <c r="I14" s="61">
        <v>16.81</v>
      </c>
      <c r="J14" s="61">
        <v>10.52</v>
      </c>
      <c r="K14" s="61">
        <v>7.34</v>
      </c>
      <c r="L14" s="61">
        <v>6.54</v>
      </c>
      <c r="M14" s="61">
        <v>7.71</v>
      </c>
      <c r="N14" s="61">
        <v>12.96</v>
      </c>
      <c r="O14" s="61">
        <v>12.17</v>
      </c>
      <c r="P14" s="61">
        <v>6.46</v>
      </c>
      <c r="Q14" s="61">
        <v>3.5</v>
      </c>
      <c r="R14" s="61">
        <v>12.6</v>
      </c>
      <c r="S14" s="61">
        <v>11.15</v>
      </c>
      <c r="T14" s="61">
        <v>7.92</v>
      </c>
      <c r="U14" s="61">
        <v>10.25</v>
      </c>
      <c r="V14" s="61">
        <v>16.26</v>
      </c>
      <c r="W14" s="61">
        <v>6.55</v>
      </c>
      <c r="X14" s="61">
        <v>-0.92</v>
      </c>
      <c r="Y14" s="61">
        <v>2.43</v>
      </c>
      <c r="Z14" s="61">
        <v>2.38</v>
      </c>
      <c r="AA14" s="61">
        <v>2.34</v>
      </c>
      <c r="AB14" s="61">
        <v>6.21</v>
      </c>
      <c r="AC14" s="61">
        <v>2.2</v>
      </c>
      <c r="AD14" s="61">
        <v>8.56</v>
      </c>
      <c r="AE14" s="61">
        <v>30.77</v>
      </c>
      <c r="AF14" s="61">
        <v>37.88</v>
      </c>
      <c r="AG14" s="61">
        <v>35.02</v>
      </c>
      <c r="AH14" s="61">
        <v>21.87</v>
      </c>
      <c r="AI14" s="61">
        <v>44.08</v>
      </c>
      <c r="AJ14" s="61">
        <v>46.4</v>
      </c>
      <c r="AK14" s="61">
        <v>60.96</v>
      </c>
      <c r="AL14" s="61">
        <v>81.34</v>
      </c>
      <c r="AM14" s="61">
        <v>67.27</v>
      </c>
      <c r="AN14" s="61">
        <v>94.59</v>
      </c>
      <c r="AO14" s="61">
        <v>68.84</v>
      </c>
      <c r="AP14" s="61">
        <v>53.25</v>
      </c>
      <c r="AQ14" s="61">
        <v>58.28</v>
      </c>
      <c r="AR14" s="61">
        <v>246.39</v>
      </c>
      <c r="AS14" s="61">
        <v>458.83</v>
      </c>
      <c r="AT14" s="61">
        <v>412.8</v>
      </c>
      <c r="AU14" s="61">
        <v>576.37</v>
      </c>
      <c r="AV14" s="61">
        <v>584.95</v>
      </c>
      <c r="AW14" s="61">
        <v>641.44</v>
      </c>
      <c r="AX14" s="61">
        <v>834.42</v>
      </c>
      <c r="AY14" s="61">
        <v>1132.24</v>
      </c>
      <c r="AZ14" s="61">
        <v>1279.88</v>
      </c>
    </row>
    <row r="15" spans="1:52" ht="15">
      <c r="A15" s="59" t="s">
        <v>103</v>
      </c>
      <c r="B15" s="58" t="s">
        <v>95</v>
      </c>
      <c r="C15" s="60" t="s">
        <v>100</v>
      </c>
      <c r="D15" s="60" t="s">
        <v>100</v>
      </c>
      <c r="E15" s="60" t="s">
        <v>100</v>
      </c>
      <c r="F15" s="60" t="s">
        <v>100</v>
      </c>
      <c r="G15" s="60" t="s">
        <v>100</v>
      </c>
      <c r="H15" s="60">
        <v>0.03</v>
      </c>
      <c r="I15" s="60">
        <v>0.04</v>
      </c>
      <c r="J15" s="60">
        <v>0.04</v>
      </c>
      <c r="K15" s="60">
        <v>0.06</v>
      </c>
      <c r="L15" s="60">
        <v>0.74</v>
      </c>
      <c r="M15" s="60">
        <v>0.1</v>
      </c>
      <c r="N15" s="60">
        <v>0.12</v>
      </c>
      <c r="O15" s="60">
        <v>0.15</v>
      </c>
      <c r="P15" s="60">
        <v>0.58</v>
      </c>
      <c r="Q15" s="60">
        <v>0.15</v>
      </c>
      <c r="R15" s="60">
        <v>0.25</v>
      </c>
      <c r="S15" s="60">
        <v>0.26</v>
      </c>
      <c r="T15" s="60">
        <v>0.65</v>
      </c>
      <c r="U15" s="60">
        <v>1.03</v>
      </c>
      <c r="V15" s="60">
        <v>0.2</v>
      </c>
      <c r="W15" s="60">
        <v>0.05</v>
      </c>
      <c r="X15" s="60">
        <v>0.01</v>
      </c>
      <c r="Y15" s="60" t="s">
        <v>100</v>
      </c>
      <c r="Z15" s="60" t="s">
        <v>100</v>
      </c>
      <c r="AA15" s="60" t="s">
        <v>100</v>
      </c>
      <c r="AB15" s="60">
        <v>0.02</v>
      </c>
      <c r="AC15" s="60" t="s">
        <v>100</v>
      </c>
      <c r="AD15" s="60">
        <v>0.02</v>
      </c>
      <c r="AE15" s="60">
        <v>0.03</v>
      </c>
      <c r="AF15" s="60">
        <v>0.43</v>
      </c>
      <c r="AG15" s="60">
        <v>1.23</v>
      </c>
      <c r="AH15" s="60">
        <v>4.75</v>
      </c>
      <c r="AI15" s="60">
        <v>0.44</v>
      </c>
      <c r="AJ15" s="60">
        <v>0.76</v>
      </c>
      <c r="AK15" s="60">
        <v>2.9</v>
      </c>
      <c r="AL15" s="60">
        <v>2.9</v>
      </c>
      <c r="AM15" s="60">
        <v>2.03</v>
      </c>
      <c r="AN15" s="60">
        <v>4.08</v>
      </c>
      <c r="AO15" s="60">
        <v>3.08</v>
      </c>
      <c r="AP15" s="60">
        <v>0.08</v>
      </c>
      <c r="AQ15" s="60">
        <v>2.15</v>
      </c>
      <c r="AR15" s="60">
        <v>6.18</v>
      </c>
      <c r="AS15" s="60">
        <v>12.77</v>
      </c>
      <c r="AT15" s="60">
        <v>8.31</v>
      </c>
      <c r="AU15" s="60">
        <v>21.09</v>
      </c>
      <c r="AV15" s="60">
        <v>15.85</v>
      </c>
      <c r="AW15" s="60">
        <v>21.15</v>
      </c>
      <c r="AX15" s="60">
        <v>50.25</v>
      </c>
      <c r="AY15" s="60">
        <v>138.44</v>
      </c>
      <c r="AZ15" s="60">
        <v>96.74</v>
      </c>
    </row>
    <row r="16" spans="1:52" ht="15">
      <c r="A16" s="59" t="s">
        <v>104</v>
      </c>
      <c r="B16" s="58" t="s">
        <v>95</v>
      </c>
      <c r="C16" s="61" t="s">
        <v>100</v>
      </c>
      <c r="D16" s="61" t="s">
        <v>100</v>
      </c>
      <c r="E16" s="61" t="s">
        <v>100</v>
      </c>
      <c r="F16" s="61" t="s">
        <v>100</v>
      </c>
      <c r="G16" s="61">
        <v>0.02</v>
      </c>
      <c r="H16" s="61">
        <v>0.02</v>
      </c>
      <c r="I16" s="61">
        <v>0.03</v>
      </c>
      <c r="J16" s="61">
        <v>0.05</v>
      </c>
      <c r="K16" s="61">
        <v>0.02</v>
      </c>
      <c r="L16" s="61">
        <v>0.01</v>
      </c>
      <c r="M16" s="61" t="s">
        <v>100</v>
      </c>
      <c r="N16" s="61">
        <v>0.05</v>
      </c>
      <c r="O16" s="61" t="s">
        <v>100</v>
      </c>
      <c r="P16" s="61" t="s">
        <v>100</v>
      </c>
      <c r="Q16" s="61" t="s">
        <v>100</v>
      </c>
      <c r="R16" s="61" t="s">
        <v>100</v>
      </c>
      <c r="S16" s="61">
        <v>0.03</v>
      </c>
      <c r="T16" s="61">
        <v>0.09</v>
      </c>
      <c r="U16" s="61">
        <v>0.08</v>
      </c>
      <c r="V16" s="61">
        <v>0.13</v>
      </c>
      <c r="W16" s="61">
        <v>0.29</v>
      </c>
      <c r="X16" s="61">
        <v>0.2</v>
      </c>
      <c r="Y16" s="61">
        <v>1.02</v>
      </c>
      <c r="Z16" s="61">
        <v>0.72</v>
      </c>
      <c r="AA16" s="61">
        <v>0.11</v>
      </c>
      <c r="AB16" s="61">
        <v>0.17</v>
      </c>
      <c r="AC16" s="61">
        <v>0.09</v>
      </c>
      <c r="AD16" s="61">
        <v>0.11</v>
      </c>
      <c r="AE16" s="61">
        <v>0.14</v>
      </c>
      <c r="AF16" s="61">
        <v>1.35</v>
      </c>
      <c r="AG16" s="61">
        <v>1.49</v>
      </c>
      <c r="AH16" s="61">
        <v>0.62</v>
      </c>
      <c r="AI16" s="61">
        <v>1.49</v>
      </c>
      <c r="AJ16" s="61">
        <v>0.65</v>
      </c>
      <c r="AK16" s="61">
        <v>0.64</v>
      </c>
      <c r="AL16" s="61">
        <v>0.82</v>
      </c>
      <c r="AM16" s="61">
        <v>2.85</v>
      </c>
      <c r="AN16" s="61">
        <v>1.8</v>
      </c>
      <c r="AO16" s="61">
        <v>0.57</v>
      </c>
      <c r="AP16" s="61">
        <v>2.37</v>
      </c>
      <c r="AQ16" s="61">
        <v>5.85</v>
      </c>
      <c r="AR16" s="61">
        <v>9.74</v>
      </c>
      <c r="AS16" s="61">
        <v>13.4</v>
      </c>
      <c r="AT16" s="61">
        <v>6.9</v>
      </c>
      <c r="AU16" s="61">
        <v>8.65</v>
      </c>
      <c r="AV16" s="61">
        <v>7.68</v>
      </c>
      <c r="AW16" s="61">
        <v>1.24</v>
      </c>
      <c r="AX16" s="61">
        <v>0.66</v>
      </c>
      <c r="AY16" s="61">
        <v>0.84</v>
      </c>
      <c r="AZ16" s="61">
        <v>0.82</v>
      </c>
    </row>
    <row r="17" spans="1:52" ht="15">
      <c r="A17" s="59" t="s">
        <v>105</v>
      </c>
      <c r="B17" s="58" t="s">
        <v>95</v>
      </c>
      <c r="C17" s="60" t="s">
        <v>100</v>
      </c>
      <c r="D17" s="60" t="s">
        <v>100</v>
      </c>
      <c r="E17" s="60" t="s">
        <v>100</v>
      </c>
      <c r="F17" s="60" t="s">
        <v>100</v>
      </c>
      <c r="G17" s="60" t="s">
        <v>100</v>
      </c>
      <c r="H17" s="60" t="s">
        <v>100</v>
      </c>
      <c r="I17" s="60" t="s">
        <v>100</v>
      </c>
      <c r="J17" s="60" t="s">
        <v>100</v>
      </c>
      <c r="K17" s="60" t="s">
        <v>100</v>
      </c>
      <c r="L17" s="60" t="s">
        <v>100</v>
      </c>
      <c r="M17" s="60" t="s">
        <v>100</v>
      </c>
      <c r="N17" s="60" t="s">
        <v>100</v>
      </c>
      <c r="O17" s="60" t="s">
        <v>100</v>
      </c>
      <c r="P17" s="60">
        <v>0.01</v>
      </c>
      <c r="Q17" s="60">
        <v>0.01</v>
      </c>
      <c r="R17" s="60">
        <v>0.01</v>
      </c>
      <c r="S17" s="60">
        <v>0.04</v>
      </c>
      <c r="T17" s="60">
        <v>0.03</v>
      </c>
      <c r="U17" s="60">
        <v>0.06</v>
      </c>
      <c r="V17" s="60">
        <v>0.04</v>
      </c>
      <c r="W17" s="60" t="s">
        <v>100</v>
      </c>
      <c r="X17" s="60" t="s">
        <v>100</v>
      </c>
      <c r="Y17" s="60" t="s">
        <v>100</v>
      </c>
      <c r="Z17" s="60" t="s">
        <v>100</v>
      </c>
      <c r="AA17" s="60">
        <v>0.03</v>
      </c>
      <c r="AB17" s="60">
        <v>0.03</v>
      </c>
      <c r="AC17" s="60" t="s">
        <v>100</v>
      </c>
      <c r="AD17" s="60" t="s">
        <v>100</v>
      </c>
      <c r="AE17" s="60" t="s">
        <v>100</v>
      </c>
      <c r="AF17" s="60">
        <v>0.01</v>
      </c>
      <c r="AG17" s="60">
        <v>0.01</v>
      </c>
      <c r="AH17" s="60" t="s">
        <v>100</v>
      </c>
      <c r="AI17" s="60">
        <v>0.08</v>
      </c>
      <c r="AJ17" s="60">
        <v>0.1</v>
      </c>
      <c r="AK17" s="60">
        <v>0.22</v>
      </c>
      <c r="AL17" s="60">
        <v>0.2</v>
      </c>
      <c r="AM17" s="60">
        <v>0.01</v>
      </c>
      <c r="AN17" s="60">
        <v>0.89</v>
      </c>
      <c r="AO17" s="60">
        <v>0.01</v>
      </c>
      <c r="AP17" s="60" t="s">
        <v>100</v>
      </c>
      <c r="AQ17" s="60" t="s">
        <v>100</v>
      </c>
      <c r="AR17" s="60">
        <v>3.69</v>
      </c>
      <c r="AS17" s="60">
        <v>7</v>
      </c>
      <c r="AT17" s="60">
        <v>3.09</v>
      </c>
      <c r="AU17" s="60">
        <v>6.96</v>
      </c>
      <c r="AV17" s="60">
        <v>5.08</v>
      </c>
      <c r="AW17" s="60">
        <v>7.63</v>
      </c>
      <c r="AX17" s="60">
        <v>10.64</v>
      </c>
      <c r="AY17" s="60">
        <v>10.15</v>
      </c>
      <c r="AZ17" s="60">
        <v>18.69</v>
      </c>
    </row>
    <row r="18" spans="1:52" ht="15">
      <c r="A18" s="59" t="s">
        <v>106</v>
      </c>
      <c r="B18" s="58" t="s">
        <v>95</v>
      </c>
      <c r="C18" s="61" t="s">
        <v>100</v>
      </c>
      <c r="D18" s="61" t="s">
        <v>100</v>
      </c>
      <c r="E18" s="61" t="s">
        <v>100</v>
      </c>
      <c r="F18" s="61" t="s">
        <v>100</v>
      </c>
      <c r="G18" s="61" t="s">
        <v>100</v>
      </c>
      <c r="H18" s="61">
        <v>0.01</v>
      </c>
      <c r="I18" s="61">
        <v>0.03</v>
      </c>
      <c r="J18" s="61">
        <v>0.03</v>
      </c>
      <c r="K18" s="61">
        <v>0.01</v>
      </c>
      <c r="L18" s="61">
        <v>0.01</v>
      </c>
      <c r="M18" s="61">
        <v>0.7</v>
      </c>
      <c r="N18" s="61">
        <v>2.14</v>
      </c>
      <c r="O18" s="61">
        <v>1.14</v>
      </c>
      <c r="P18" s="61">
        <v>2.22</v>
      </c>
      <c r="Q18" s="61">
        <v>0.54</v>
      </c>
      <c r="R18" s="61">
        <v>1.47</v>
      </c>
      <c r="S18" s="61">
        <v>0.38</v>
      </c>
      <c r="T18" s="61">
        <v>0.34</v>
      </c>
      <c r="U18" s="61">
        <v>4.19</v>
      </c>
      <c r="V18" s="61">
        <v>6.03</v>
      </c>
      <c r="W18" s="61">
        <v>2.22</v>
      </c>
      <c r="X18" s="61">
        <v>0.11</v>
      </c>
      <c r="Y18" s="61" t="s">
        <v>100</v>
      </c>
      <c r="Z18" s="61" t="s">
        <v>100</v>
      </c>
      <c r="AA18" s="61" t="s">
        <v>100</v>
      </c>
      <c r="AB18" s="61" t="s">
        <v>100</v>
      </c>
      <c r="AC18" s="61" t="s">
        <v>100</v>
      </c>
      <c r="AD18" s="61" t="s">
        <v>100</v>
      </c>
      <c r="AE18" s="61">
        <v>2.19</v>
      </c>
      <c r="AF18" s="61">
        <v>0.98</v>
      </c>
      <c r="AG18" s="61">
        <v>2.73</v>
      </c>
      <c r="AH18" s="61">
        <v>5.31</v>
      </c>
      <c r="AI18" s="61">
        <v>4.67</v>
      </c>
      <c r="AJ18" s="61">
        <v>7.63</v>
      </c>
      <c r="AK18" s="61">
        <v>7.17</v>
      </c>
      <c r="AL18" s="61">
        <v>7.14</v>
      </c>
      <c r="AM18" s="61">
        <v>3.88</v>
      </c>
      <c r="AN18" s="61">
        <v>13.37</v>
      </c>
      <c r="AO18" s="61">
        <v>4.8</v>
      </c>
      <c r="AP18" s="61">
        <v>8.67</v>
      </c>
      <c r="AQ18" s="61">
        <v>6.66</v>
      </c>
      <c r="AR18" s="61">
        <v>14.23</v>
      </c>
      <c r="AS18" s="61">
        <v>35.81</v>
      </c>
      <c r="AT18" s="61">
        <v>73.13</v>
      </c>
      <c r="AU18" s="61">
        <v>56.24</v>
      </c>
      <c r="AV18" s="61">
        <v>89.47</v>
      </c>
      <c r="AW18" s="61">
        <v>140.27</v>
      </c>
      <c r="AX18" s="61">
        <v>345.39</v>
      </c>
      <c r="AY18" s="61">
        <v>207.86</v>
      </c>
      <c r="AZ18" s="61">
        <v>232.58</v>
      </c>
    </row>
    <row r="19" spans="1:52" ht="15">
      <c r="A19" s="59" t="s">
        <v>107</v>
      </c>
      <c r="B19" s="58" t="s">
        <v>95</v>
      </c>
      <c r="C19" s="60" t="s">
        <v>100</v>
      </c>
      <c r="D19" s="60" t="s">
        <v>100</v>
      </c>
      <c r="E19" s="60" t="s">
        <v>100</v>
      </c>
      <c r="F19" s="60" t="s">
        <v>100</v>
      </c>
      <c r="G19" s="60" t="s">
        <v>100</v>
      </c>
      <c r="H19" s="60" t="s">
        <v>100</v>
      </c>
      <c r="I19" s="60" t="s">
        <v>100</v>
      </c>
      <c r="J19" s="60">
        <v>0.01</v>
      </c>
      <c r="K19" s="60">
        <v>0.02</v>
      </c>
      <c r="L19" s="60">
        <v>0.02</v>
      </c>
      <c r="M19" s="60">
        <v>0.02</v>
      </c>
      <c r="N19" s="60">
        <v>0.02</v>
      </c>
      <c r="O19" s="60">
        <v>0.05</v>
      </c>
      <c r="P19" s="60">
        <v>0.12</v>
      </c>
      <c r="Q19" s="60">
        <v>0.05</v>
      </c>
      <c r="R19" s="60">
        <v>0.93</v>
      </c>
      <c r="S19" s="60">
        <v>2.57</v>
      </c>
      <c r="T19" s="60">
        <v>0.06</v>
      </c>
      <c r="U19" s="60">
        <v>0.41</v>
      </c>
      <c r="V19" s="60">
        <v>-0.04</v>
      </c>
      <c r="W19" s="60">
        <v>1.83</v>
      </c>
      <c r="X19" s="60">
        <v>0.69</v>
      </c>
      <c r="Y19" s="60">
        <v>0.96</v>
      </c>
      <c r="Z19" s="60">
        <v>0.1</v>
      </c>
      <c r="AA19" s="60">
        <v>0.18</v>
      </c>
      <c r="AB19" s="60">
        <v>0.02</v>
      </c>
      <c r="AC19" s="60">
        <v>-0.27</v>
      </c>
      <c r="AD19" s="60">
        <v>-0.14</v>
      </c>
      <c r="AE19" s="60">
        <v>-0.16</v>
      </c>
      <c r="AF19" s="60">
        <v>1.63</v>
      </c>
      <c r="AG19" s="60">
        <v>1.58</v>
      </c>
      <c r="AH19" s="60">
        <v>2.71</v>
      </c>
      <c r="AI19" s="60">
        <v>3.15</v>
      </c>
      <c r="AJ19" s="60">
        <v>4.32</v>
      </c>
      <c r="AK19" s="60">
        <v>1.98</v>
      </c>
      <c r="AL19" s="60">
        <v>5.62</v>
      </c>
      <c r="AM19" s="60">
        <v>3.85</v>
      </c>
      <c r="AN19" s="60">
        <v>2.84</v>
      </c>
      <c r="AO19" s="60">
        <v>2.68</v>
      </c>
      <c r="AP19" s="60">
        <v>2.72</v>
      </c>
      <c r="AQ19" s="60">
        <v>0.32</v>
      </c>
      <c r="AR19" s="60">
        <v>2.41</v>
      </c>
      <c r="AS19" s="60">
        <v>7.75</v>
      </c>
      <c r="AT19" s="60">
        <v>17.91</v>
      </c>
      <c r="AU19" s="60">
        <v>14.18</v>
      </c>
      <c r="AV19" s="60">
        <v>23.64</v>
      </c>
      <c r="AW19" s="60">
        <v>29.63</v>
      </c>
      <c r="AX19" s="60">
        <v>40.74</v>
      </c>
      <c r="AY19" s="60">
        <v>50.38</v>
      </c>
      <c r="AZ19" s="60">
        <v>86.01</v>
      </c>
    </row>
    <row r="20" spans="1:52" ht="15">
      <c r="A20" s="59" t="s">
        <v>108</v>
      </c>
      <c r="B20" s="58" t="s">
        <v>95</v>
      </c>
      <c r="C20" s="61" t="s">
        <v>100</v>
      </c>
      <c r="D20" s="61" t="s">
        <v>100</v>
      </c>
      <c r="E20" s="61" t="s">
        <v>100</v>
      </c>
      <c r="F20" s="61" t="s">
        <v>100</v>
      </c>
      <c r="G20" s="61" t="s">
        <v>100</v>
      </c>
      <c r="H20" s="61" t="s">
        <v>100</v>
      </c>
      <c r="I20" s="61" t="s">
        <v>100</v>
      </c>
      <c r="J20" s="61" t="s">
        <v>100</v>
      </c>
      <c r="K20" s="61" t="s">
        <v>100</v>
      </c>
      <c r="L20" s="61" t="s">
        <v>100</v>
      </c>
      <c r="M20" s="61" t="s">
        <v>100</v>
      </c>
      <c r="N20" s="61" t="s">
        <v>100</v>
      </c>
      <c r="O20" s="61">
        <v>0.04</v>
      </c>
      <c r="P20" s="61">
        <v>0.02</v>
      </c>
      <c r="Q20" s="61" t="s">
        <v>100</v>
      </c>
      <c r="R20" s="61">
        <v>0.07</v>
      </c>
      <c r="S20" s="61">
        <v>0.03</v>
      </c>
      <c r="T20" s="61" t="s">
        <v>100</v>
      </c>
      <c r="U20" s="61" t="s">
        <v>100</v>
      </c>
      <c r="V20" s="61">
        <v>0.06</v>
      </c>
      <c r="W20" s="61">
        <v>0.01</v>
      </c>
      <c r="X20" s="61" t="s">
        <v>100</v>
      </c>
      <c r="Y20" s="61" t="s">
        <v>100</v>
      </c>
      <c r="Z20" s="61" t="s">
        <v>100</v>
      </c>
      <c r="AA20" s="61">
        <v>0.02</v>
      </c>
      <c r="AB20" s="61">
        <v>0.02</v>
      </c>
      <c r="AC20" s="61" t="s">
        <v>100</v>
      </c>
      <c r="AD20" s="61" t="s">
        <v>100</v>
      </c>
      <c r="AE20" s="61">
        <v>0.54</v>
      </c>
      <c r="AF20" s="61">
        <v>1.11</v>
      </c>
      <c r="AG20" s="61">
        <v>0.15</v>
      </c>
      <c r="AH20" s="61">
        <v>2.28</v>
      </c>
      <c r="AI20" s="61">
        <v>1.43</v>
      </c>
      <c r="AJ20" s="61">
        <v>1.47</v>
      </c>
      <c r="AK20" s="61">
        <v>1.3</v>
      </c>
      <c r="AL20" s="61">
        <v>1.39</v>
      </c>
      <c r="AM20" s="61">
        <v>3.53</v>
      </c>
      <c r="AN20" s="61">
        <v>2.61</v>
      </c>
      <c r="AO20" s="61">
        <v>2.91</v>
      </c>
      <c r="AP20" s="61">
        <v>3.6</v>
      </c>
      <c r="AQ20" s="61">
        <v>4.96</v>
      </c>
      <c r="AR20" s="61">
        <v>8.72</v>
      </c>
      <c r="AS20" s="61">
        <v>15.26</v>
      </c>
      <c r="AT20" s="61">
        <v>13.57</v>
      </c>
      <c r="AU20" s="61">
        <v>15.45</v>
      </c>
      <c r="AV20" s="61">
        <v>14.57</v>
      </c>
      <c r="AW20" s="61">
        <v>15.26</v>
      </c>
      <c r="AX20" s="61">
        <v>19.16</v>
      </c>
      <c r="AY20" s="61">
        <v>26.07</v>
      </c>
      <c r="AZ20" s="61">
        <v>28.04</v>
      </c>
    </row>
    <row r="21" spans="1:52" ht="15">
      <c r="A21" s="59" t="s">
        <v>109</v>
      </c>
      <c r="B21" s="58" t="s">
        <v>95</v>
      </c>
      <c r="C21" s="60" t="s">
        <v>100</v>
      </c>
      <c r="D21" s="60" t="s">
        <v>100</v>
      </c>
      <c r="E21" s="60" t="s">
        <v>100</v>
      </c>
      <c r="F21" s="60" t="s">
        <v>100</v>
      </c>
      <c r="G21" s="60" t="s">
        <v>100</v>
      </c>
      <c r="H21" s="60" t="s">
        <v>100</v>
      </c>
      <c r="I21" s="60" t="s">
        <v>100</v>
      </c>
      <c r="J21" s="60" t="s">
        <v>100</v>
      </c>
      <c r="K21" s="60" t="s">
        <v>100</v>
      </c>
      <c r="L21" s="60" t="s">
        <v>100</v>
      </c>
      <c r="M21" s="60" t="s">
        <v>100</v>
      </c>
      <c r="N21" s="60" t="s">
        <v>100</v>
      </c>
      <c r="O21" s="60" t="s">
        <v>100</v>
      </c>
      <c r="P21" s="60" t="s">
        <v>100</v>
      </c>
      <c r="Q21" s="60" t="s">
        <v>100</v>
      </c>
      <c r="R21" s="60">
        <v>0.79</v>
      </c>
      <c r="S21" s="60" t="s">
        <v>100</v>
      </c>
      <c r="T21" s="60" t="s">
        <v>100</v>
      </c>
      <c r="U21" s="60" t="s">
        <v>100</v>
      </c>
      <c r="V21" s="60" t="s">
        <v>100</v>
      </c>
      <c r="W21" s="60">
        <v>0.7</v>
      </c>
      <c r="X21" s="60">
        <v>0.88</v>
      </c>
      <c r="Y21" s="60">
        <v>1.12</v>
      </c>
      <c r="Z21" s="60">
        <v>0.8</v>
      </c>
      <c r="AA21" s="60">
        <v>0.7</v>
      </c>
      <c r="AB21" s="60">
        <v>3.15</v>
      </c>
      <c r="AC21" s="60">
        <v>0.52</v>
      </c>
      <c r="AD21" s="60">
        <v>0.85</v>
      </c>
      <c r="AE21" s="60">
        <v>0.66</v>
      </c>
      <c r="AF21" s="60">
        <v>1.88</v>
      </c>
      <c r="AG21" s="60">
        <v>1.87</v>
      </c>
      <c r="AH21" s="60">
        <v>1.5</v>
      </c>
      <c r="AI21" s="60">
        <v>1.41</v>
      </c>
      <c r="AJ21" s="60">
        <v>2.05</v>
      </c>
      <c r="AK21" s="60">
        <v>4.39</v>
      </c>
      <c r="AL21" s="60">
        <v>3.48</v>
      </c>
      <c r="AM21" s="60">
        <v>2.52</v>
      </c>
      <c r="AN21" s="60">
        <v>1.69</v>
      </c>
      <c r="AO21" s="60">
        <v>2.25</v>
      </c>
      <c r="AP21" s="60">
        <v>1.33</v>
      </c>
      <c r="AQ21" s="60">
        <v>0.71</v>
      </c>
      <c r="AR21" s="60">
        <v>9.61</v>
      </c>
      <c r="AS21" s="60">
        <v>11.86</v>
      </c>
      <c r="AT21" s="60">
        <v>12.45</v>
      </c>
      <c r="AU21" s="60">
        <v>15.03</v>
      </c>
      <c r="AV21" s="60">
        <v>17.71</v>
      </c>
      <c r="AW21" s="60">
        <v>14.62</v>
      </c>
      <c r="AX21" s="60">
        <v>19.54</v>
      </c>
      <c r="AY21" s="60">
        <v>19.9</v>
      </c>
      <c r="AZ21" s="60">
        <v>49.81</v>
      </c>
    </row>
    <row r="22" spans="1:52" ht="15">
      <c r="A22" s="59" t="s">
        <v>110</v>
      </c>
      <c r="B22" s="58" t="s">
        <v>95</v>
      </c>
      <c r="C22" s="61">
        <v>0.65</v>
      </c>
      <c r="D22" s="61">
        <v>3.38</v>
      </c>
      <c r="E22" s="61">
        <v>2.15</v>
      </c>
      <c r="F22" s="61">
        <v>2.81</v>
      </c>
      <c r="G22" s="61">
        <v>6.63</v>
      </c>
      <c r="H22" s="61">
        <v>15.81</v>
      </c>
      <c r="I22" s="61">
        <v>16.41</v>
      </c>
      <c r="J22" s="61">
        <v>9.61</v>
      </c>
      <c r="K22" s="61">
        <v>6.84</v>
      </c>
      <c r="L22" s="61">
        <v>5.57</v>
      </c>
      <c r="M22" s="61">
        <v>7.14</v>
      </c>
      <c r="N22" s="61">
        <v>12.02</v>
      </c>
      <c r="O22" s="61">
        <v>10.84</v>
      </c>
      <c r="P22" s="61">
        <v>5.08</v>
      </c>
      <c r="Q22" s="61">
        <v>1.68</v>
      </c>
      <c r="R22" s="61">
        <v>9.7</v>
      </c>
      <c r="S22" s="61">
        <v>6.54</v>
      </c>
      <c r="T22" s="61">
        <v>2.3</v>
      </c>
      <c r="U22" s="61">
        <v>5.8</v>
      </c>
      <c r="V22" s="61">
        <v>12.94</v>
      </c>
      <c r="W22" s="61">
        <v>1.35</v>
      </c>
      <c r="X22" s="61">
        <v>-2.93</v>
      </c>
      <c r="Y22" s="61">
        <v>-0.75</v>
      </c>
      <c r="Z22" s="61">
        <v>-0.89</v>
      </c>
      <c r="AA22" s="61">
        <v>-0.61</v>
      </c>
      <c r="AB22" s="61">
        <v>1.28</v>
      </c>
      <c r="AC22" s="61">
        <v>-2.62</v>
      </c>
      <c r="AD22" s="61">
        <v>0.44</v>
      </c>
      <c r="AE22" s="61">
        <v>7.89</v>
      </c>
      <c r="AF22" s="61">
        <v>8.62</v>
      </c>
      <c r="AG22" s="61">
        <v>8.07</v>
      </c>
      <c r="AH22" s="61">
        <v>5.52</v>
      </c>
      <c r="AI22" s="61">
        <v>14.99</v>
      </c>
      <c r="AJ22" s="61">
        <v>16.06</v>
      </c>
      <c r="AK22" s="61">
        <v>21.64</v>
      </c>
      <c r="AL22" s="61">
        <v>15.61</v>
      </c>
      <c r="AM22" s="61">
        <v>17.42</v>
      </c>
      <c r="AN22" s="61">
        <v>18.51</v>
      </c>
      <c r="AO22" s="61">
        <v>11.61</v>
      </c>
      <c r="AP22" s="61">
        <v>16.46</v>
      </c>
      <c r="AQ22" s="61">
        <v>10.63</v>
      </c>
      <c r="AR22" s="61">
        <v>44.14</v>
      </c>
      <c r="AS22" s="61">
        <v>89.57</v>
      </c>
      <c r="AT22" s="61">
        <v>82.1</v>
      </c>
      <c r="AU22" s="61">
        <v>75.13</v>
      </c>
      <c r="AV22" s="61">
        <v>99.23</v>
      </c>
      <c r="AW22" s="61">
        <v>117.99</v>
      </c>
      <c r="AX22" s="61">
        <v>187.62</v>
      </c>
      <c r="AY22" s="61">
        <v>294.02</v>
      </c>
      <c r="AZ22" s="61">
        <v>337.34</v>
      </c>
    </row>
    <row r="23" spans="1:52" ht="15">
      <c r="A23" s="59" t="s">
        <v>111</v>
      </c>
      <c r="B23" s="58" t="s">
        <v>95</v>
      </c>
      <c r="C23" s="60" t="s">
        <v>100</v>
      </c>
      <c r="D23" s="60" t="s">
        <v>100</v>
      </c>
      <c r="E23" s="60" t="s">
        <v>100</v>
      </c>
      <c r="F23" s="60" t="s">
        <v>100</v>
      </c>
      <c r="G23" s="60" t="s">
        <v>100</v>
      </c>
      <c r="H23" s="60" t="s">
        <v>100</v>
      </c>
      <c r="I23" s="60" t="s">
        <v>100</v>
      </c>
      <c r="J23" s="60" t="s">
        <v>100</v>
      </c>
      <c r="K23" s="60" t="s">
        <v>100</v>
      </c>
      <c r="L23" s="60" t="s">
        <v>100</v>
      </c>
      <c r="M23" s="60" t="s">
        <v>100</v>
      </c>
      <c r="N23" s="60" t="s">
        <v>100</v>
      </c>
      <c r="O23" s="60" t="s">
        <v>100</v>
      </c>
      <c r="P23" s="60" t="s">
        <v>100</v>
      </c>
      <c r="Q23" s="60" t="s">
        <v>100</v>
      </c>
      <c r="R23" s="60" t="s">
        <v>100</v>
      </c>
      <c r="S23" s="60" t="s">
        <v>100</v>
      </c>
      <c r="T23" s="60" t="s">
        <v>100</v>
      </c>
      <c r="U23" s="60" t="s">
        <v>100</v>
      </c>
      <c r="V23" s="60" t="s">
        <v>100</v>
      </c>
      <c r="W23" s="60" t="s">
        <v>100</v>
      </c>
      <c r="X23" s="60" t="s">
        <v>100</v>
      </c>
      <c r="Y23" s="60" t="s">
        <v>100</v>
      </c>
      <c r="Z23" s="60" t="s">
        <v>100</v>
      </c>
      <c r="AA23" s="60" t="s">
        <v>100</v>
      </c>
      <c r="AB23" s="60" t="s">
        <v>100</v>
      </c>
      <c r="AC23" s="60" t="s">
        <v>100</v>
      </c>
      <c r="AD23" s="60" t="s">
        <v>100</v>
      </c>
      <c r="AE23" s="60" t="s">
        <v>100</v>
      </c>
      <c r="AF23" s="60" t="s">
        <v>100</v>
      </c>
      <c r="AG23" s="60" t="s">
        <v>100</v>
      </c>
      <c r="AH23" s="60" t="s">
        <v>100</v>
      </c>
      <c r="AI23" s="60" t="s">
        <v>100</v>
      </c>
      <c r="AJ23" s="60" t="s">
        <v>100</v>
      </c>
      <c r="AK23" s="60" t="s">
        <v>100</v>
      </c>
      <c r="AL23" s="60" t="s">
        <v>100</v>
      </c>
      <c r="AM23" s="60" t="s">
        <v>100</v>
      </c>
      <c r="AN23" s="60" t="s">
        <v>100</v>
      </c>
      <c r="AO23" s="60">
        <v>0.02</v>
      </c>
      <c r="AP23" s="60" t="s">
        <v>100</v>
      </c>
      <c r="AQ23" s="60">
        <v>0.06</v>
      </c>
      <c r="AR23" s="60">
        <v>1.38</v>
      </c>
      <c r="AS23" s="60">
        <v>8.95</v>
      </c>
      <c r="AT23" s="60">
        <v>8.61</v>
      </c>
      <c r="AU23" s="60">
        <v>9.61</v>
      </c>
      <c r="AV23" s="60">
        <v>17.28</v>
      </c>
      <c r="AW23" s="60">
        <v>10.91</v>
      </c>
      <c r="AX23" s="60">
        <v>17.25</v>
      </c>
      <c r="AY23" s="60">
        <v>10.13</v>
      </c>
      <c r="AZ23" s="60">
        <v>17.97</v>
      </c>
    </row>
    <row r="24" spans="1:52" ht="15">
      <c r="A24" s="59" t="s">
        <v>112</v>
      </c>
      <c r="B24" s="58" t="s">
        <v>95</v>
      </c>
      <c r="C24" s="61" t="s">
        <v>100</v>
      </c>
      <c r="D24" s="61" t="s">
        <v>100</v>
      </c>
      <c r="E24" s="61" t="s">
        <v>100</v>
      </c>
      <c r="F24" s="61" t="s">
        <v>100</v>
      </c>
      <c r="G24" s="61" t="s">
        <v>100</v>
      </c>
      <c r="H24" s="61" t="s">
        <v>100</v>
      </c>
      <c r="I24" s="61" t="s">
        <v>100</v>
      </c>
      <c r="J24" s="61" t="s">
        <v>100</v>
      </c>
      <c r="K24" s="61" t="s">
        <v>100</v>
      </c>
      <c r="L24" s="61" t="s">
        <v>100</v>
      </c>
      <c r="M24" s="61" t="s">
        <v>100</v>
      </c>
      <c r="N24" s="61" t="s">
        <v>100</v>
      </c>
      <c r="O24" s="61" t="s">
        <v>100</v>
      </c>
      <c r="P24" s="61" t="s">
        <v>100</v>
      </c>
      <c r="Q24" s="61" t="s">
        <v>100</v>
      </c>
      <c r="R24" s="61" t="s">
        <v>100</v>
      </c>
      <c r="S24" s="61" t="s">
        <v>100</v>
      </c>
      <c r="T24" s="61" t="s">
        <v>100</v>
      </c>
      <c r="U24" s="61" t="s">
        <v>100</v>
      </c>
      <c r="V24" s="61" t="s">
        <v>100</v>
      </c>
      <c r="W24" s="61" t="s">
        <v>100</v>
      </c>
      <c r="X24" s="61" t="s">
        <v>100</v>
      </c>
      <c r="Y24" s="61" t="s">
        <v>100</v>
      </c>
      <c r="Z24" s="61" t="s">
        <v>100</v>
      </c>
      <c r="AA24" s="61" t="s">
        <v>100</v>
      </c>
      <c r="AB24" s="61" t="s">
        <v>100</v>
      </c>
      <c r="AC24" s="61" t="s">
        <v>100</v>
      </c>
      <c r="AD24" s="61" t="s">
        <v>100</v>
      </c>
      <c r="AE24" s="61">
        <v>0.11</v>
      </c>
      <c r="AF24" s="61" t="s">
        <v>100</v>
      </c>
      <c r="AG24" s="61">
        <v>0.05</v>
      </c>
      <c r="AH24" s="61" t="s">
        <v>100</v>
      </c>
      <c r="AI24" s="61" t="s">
        <v>100</v>
      </c>
      <c r="AJ24" s="61">
        <v>0.1</v>
      </c>
      <c r="AK24" s="61">
        <v>0.07</v>
      </c>
      <c r="AL24" s="61">
        <v>0.23</v>
      </c>
      <c r="AM24" s="61">
        <v>0.3</v>
      </c>
      <c r="AN24" s="61">
        <v>0.55</v>
      </c>
      <c r="AO24" s="61">
        <v>0.31</v>
      </c>
      <c r="AP24" s="61">
        <v>0.42</v>
      </c>
      <c r="AQ24" s="61">
        <v>0.54</v>
      </c>
      <c r="AR24" s="61">
        <v>4.6</v>
      </c>
      <c r="AS24" s="61">
        <v>6.57</v>
      </c>
      <c r="AT24" s="61">
        <v>5.25</v>
      </c>
      <c r="AU24" s="61">
        <v>4.55</v>
      </c>
      <c r="AV24" s="61">
        <v>3.13</v>
      </c>
      <c r="AW24" s="61">
        <v>4.59</v>
      </c>
      <c r="AX24" s="61">
        <v>7.4</v>
      </c>
      <c r="AY24" s="61">
        <v>6.31</v>
      </c>
      <c r="AZ24" s="61">
        <v>7.11</v>
      </c>
    </row>
    <row r="25" spans="1:52" ht="15">
      <c r="A25" s="59" t="s">
        <v>113</v>
      </c>
      <c r="B25" s="58" t="s">
        <v>95</v>
      </c>
      <c r="C25" s="60">
        <v>0.01</v>
      </c>
      <c r="D25" s="60" t="s">
        <v>100</v>
      </c>
      <c r="E25" s="60" t="s">
        <v>100</v>
      </c>
      <c r="F25" s="60" t="s">
        <v>100</v>
      </c>
      <c r="G25" s="60">
        <v>0.03</v>
      </c>
      <c r="H25" s="60">
        <v>0.06</v>
      </c>
      <c r="I25" s="60" t="s">
        <v>100</v>
      </c>
      <c r="J25" s="60">
        <v>0.06</v>
      </c>
      <c r="K25" s="60">
        <v>0.01</v>
      </c>
      <c r="L25" s="60">
        <v>0.01</v>
      </c>
      <c r="M25" s="60">
        <v>0.01</v>
      </c>
      <c r="N25" s="60">
        <v>0.01</v>
      </c>
      <c r="O25" s="60">
        <v>0.05</v>
      </c>
      <c r="P25" s="60">
        <v>0.03</v>
      </c>
      <c r="Q25" s="60">
        <v>0.03</v>
      </c>
      <c r="R25" s="60">
        <v>0.09</v>
      </c>
      <c r="S25" s="60">
        <v>0.1</v>
      </c>
      <c r="T25" s="60">
        <v>0.07</v>
      </c>
      <c r="U25" s="60">
        <v>0.06</v>
      </c>
      <c r="V25" s="60">
        <v>0.07</v>
      </c>
      <c r="W25" s="60">
        <v>0.01</v>
      </c>
      <c r="X25" s="60" t="s">
        <v>100</v>
      </c>
      <c r="Y25" s="60" t="s">
        <v>100</v>
      </c>
      <c r="Z25" s="60">
        <v>0.2</v>
      </c>
      <c r="AA25" s="60" t="s">
        <v>100</v>
      </c>
      <c r="AB25" s="60" t="s">
        <v>100</v>
      </c>
      <c r="AC25" s="60">
        <v>0.69</v>
      </c>
      <c r="AD25" s="60" t="s">
        <v>100</v>
      </c>
      <c r="AE25" s="60">
        <v>1.08</v>
      </c>
      <c r="AF25" s="60" t="s">
        <v>100</v>
      </c>
      <c r="AG25" s="60" t="s">
        <v>100</v>
      </c>
      <c r="AH25" s="60">
        <v>0.4</v>
      </c>
      <c r="AI25" s="60" t="s">
        <v>100</v>
      </c>
      <c r="AJ25" s="60">
        <v>0.32</v>
      </c>
      <c r="AK25" s="60">
        <v>0.62</v>
      </c>
      <c r="AL25" s="60">
        <v>0.61</v>
      </c>
      <c r="AM25" s="60">
        <v>0.65</v>
      </c>
      <c r="AN25" s="60">
        <v>0.59</v>
      </c>
      <c r="AO25" s="60">
        <v>0.86</v>
      </c>
      <c r="AP25" s="60">
        <v>0.4</v>
      </c>
      <c r="AQ25" s="60">
        <v>0.71</v>
      </c>
      <c r="AR25" s="60">
        <v>22.11</v>
      </c>
      <c r="AS25" s="60">
        <v>28.34</v>
      </c>
      <c r="AT25" s="60">
        <v>38.16</v>
      </c>
      <c r="AU25" s="60">
        <v>37.31</v>
      </c>
      <c r="AV25" s="60">
        <v>27.39</v>
      </c>
      <c r="AW25" s="60">
        <v>32.5</v>
      </c>
      <c r="AX25" s="60">
        <v>62.04</v>
      </c>
      <c r="AY25" s="60">
        <v>116.71</v>
      </c>
      <c r="AZ25" s="60">
        <v>67.41</v>
      </c>
    </row>
    <row r="26" spans="1:52" ht="15">
      <c r="A26" s="59" t="s">
        <v>114</v>
      </c>
      <c r="B26" s="58" t="s">
        <v>95</v>
      </c>
      <c r="C26" s="61">
        <v>0.01</v>
      </c>
      <c r="D26" s="61">
        <v>0.17</v>
      </c>
      <c r="E26" s="61">
        <v>0.11</v>
      </c>
      <c r="F26" s="61">
        <v>0.07</v>
      </c>
      <c r="G26" s="61">
        <v>0.1</v>
      </c>
      <c r="H26" s="61">
        <v>0.1</v>
      </c>
      <c r="I26" s="61">
        <v>0.1</v>
      </c>
      <c r="J26" s="61">
        <v>0.09</v>
      </c>
      <c r="K26" s="61">
        <v>0.16</v>
      </c>
      <c r="L26" s="61">
        <v>0.21</v>
      </c>
      <c r="M26" s="61">
        <v>0.82</v>
      </c>
      <c r="N26" s="61">
        <v>0.72</v>
      </c>
      <c r="O26" s="61">
        <v>2.4</v>
      </c>
      <c r="P26" s="61">
        <v>0.9</v>
      </c>
      <c r="Q26" s="61">
        <v>0.63</v>
      </c>
      <c r="R26" s="61">
        <v>0.99</v>
      </c>
      <c r="S26" s="61">
        <v>1.64</v>
      </c>
      <c r="T26" s="61">
        <v>6.08</v>
      </c>
      <c r="U26" s="61">
        <v>4.86</v>
      </c>
      <c r="V26" s="61">
        <v>11.89</v>
      </c>
      <c r="W26" s="61">
        <v>0.41</v>
      </c>
      <c r="X26" s="61">
        <v>-0.09</v>
      </c>
      <c r="Y26" s="61">
        <v>0.01</v>
      </c>
      <c r="Z26" s="61">
        <v>-0.09</v>
      </c>
      <c r="AA26" s="61">
        <v>-0.3</v>
      </c>
      <c r="AB26" s="61" t="s">
        <v>100</v>
      </c>
      <c r="AC26" s="61" t="s">
        <v>100</v>
      </c>
      <c r="AD26" s="61">
        <v>-0.04</v>
      </c>
      <c r="AE26" s="61" t="s">
        <v>100</v>
      </c>
      <c r="AF26" s="61">
        <v>0.01</v>
      </c>
      <c r="AG26" s="61">
        <v>0.03</v>
      </c>
      <c r="AH26" s="61">
        <v>0.02</v>
      </c>
      <c r="AI26" s="61">
        <v>0.02</v>
      </c>
      <c r="AJ26" s="61">
        <v>0.02</v>
      </c>
      <c r="AK26" s="61" t="s">
        <v>100</v>
      </c>
      <c r="AL26" s="61" t="s">
        <v>100</v>
      </c>
      <c r="AM26" s="61">
        <v>0.01</v>
      </c>
      <c r="AN26" s="61">
        <v>0.02</v>
      </c>
      <c r="AO26" s="61">
        <v>0.02</v>
      </c>
      <c r="AP26" s="61">
        <v>0.14</v>
      </c>
      <c r="AQ26" s="61">
        <v>0.21</v>
      </c>
      <c r="AR26" s="61">
        <v>0.58</v>
      </c>
      <c r="AS26" s="61">
        <v>31.7</v>
      </c>
      <c r="AT26" s="61">
        <v>134.42</v>
      </c>
      <c r="AU26" s="61">
        <v>172.52</v>
      </c>
      <c r="AV26" s="61">
        <v>71.05</v>
      </c>
      <c r="AW26" s="61">
        <v>107.42</v>
      </c>
      <c r="AX26" s="61">
        <v>101.01</v>
      </c>
      <c r="AY26" s="61">
        <v>208.03</v>
      </c>
      <c r="AZ26" s="61">
        <v>170.54</v>
      </c>
    </row>
    <row r="27" spans="1:52" ht="15">
      <c r="A27" s="59" t="s">
        <v>115</v>
      </c>
      <c r="B27" s="58" t="s">
        <v>95</v>
      </c>
      <c r="C27" s="60" t="s">
        <v>100</v>
      </c>
      <c r="D27" s="60" t="s">
        <v>100</v>
      </c>
      <c r="E27" s="60" t="s">
        <v>100</v>
      </c>
      <c r="F27" s="60" t="s">
        <v>100</v>
      </c>
      <c r="G27" s="60" t="s">
        <v>100</v>
      </c>
      <c r="H27" s="60" t="s">
        <v>100</v>
      </c>
      <c r="I27" s="60" t="s">
        <v>100</v>
      </c>
      <c r="J27" s="60" t="s">
        <v>100</v>
      </c>
      <c r="K27" s="60" t="s">
        <v>100</v>
      </c>
      <c r="L27" s="60" t="s">
        <v>100</v>
      </c>
      <c r="M27" s="60" t="s">
        <v>100</v>
      </c>
      <c r="N27" s="60" t="s">
        <v>100</v>
      </c>
      <c r="O27" s="60" t="s">
        <v>100</v>
      </c>
      <c r="P27" s="60" t="s">
        <v>100</v>
      </c>
      <c r="Q27" s="60" t="s">
        <v>100</v>
      </c>
      <c r="R27" s="60" t="s">
        <v>100</v>
      </c>
      <c r="S27" s="60" t="s">
        <v>100</v>
      </c>
      <c r="T27" s="60" t="s">
        <v>100</v>
      </c>
      <c r="U27" s="60" t="s">
        <v>100</v>
      </c>
      <c r="V27" s="60" t="s">
        <v>100</v>
      </c>
      <c r="W27" s="60" t="s">
        <v>100</v>
      </c>
      <c r="X27" s="60" t="s">
        <v>100</v>
      </c>
      <c r="Y27" s="60" t="s">
        <v>100</v>
      </c>
      <c r="Z27" s="60" t="s">
        <v>100</v>
      </c>
      <c r="AA27" s="60" t="s">
        <v>100</v>
      </c>
      <c r="AB27" s="60" t="s">
        <v>100</v>
      </c>
      <c r="AC27" s="60" t="s">
        <v>100</v>
      </c>
      <c r="AD27" s="60" t="s">
        <v>100</v>
      </c>
      <c r="AE27" s="60" t="s">
        <v>100</v>
      </c>
      <c r="AF27" s="60">
        <v>0.01</v>
      </c>
      <c r="AG27" s="60" t="s">
        <v>100</v>
      </c>
      <c r="AH27" s="60">
        <v>0.11</v>
      </c>
      <c r="AI27" s="60">
        <v>0.2</v>
      </c>
      <c r="AJ27" s="60">
        <v>0.14</v>
      </c>
      <c r="AK27" s="60" t="s">
        <v>100</v>
      </c>
      <c r="AL27" s="60" t="s">
        <v>100</v>
      </c>
      <c r="AM27" s="60" t="s">
        <v>100</v>
      </c>
      <c r="AN27" s="60" t="s">
        <v>100</v>
      </c>
      <c r="AO27" s="60">
        <v>0.06</v>
      </c>
      <c r="AP27" s="60" t="s">
        <v>100</v>
      </c>
      <c r="AQ27" s="60" t="s">
        <v>100</v>
      </c>
      <c r="AR27" s="60" t="s">
        <v>100</v>
      </c>
      <c r="AS27" s="60">
        <v>4.78</v>
      </c>
      <c r="AT27" s="60">
        <v>21.12</v>
      </c>
      <c r="AU27" s="60">
        <v>21.54</v>
      </c>
      <c r="AV27" s="60">
        <v>8.89</v>
      </c>
      <c r="AW27" s="60">
        <v>2.15</v>
      </c>
      <c r="AX27" s="60">
        <v>2.58</v>
      </c>
      <c r="AY27" s="60">
        <v>4.02</v>
      </c>
      <c r="AZ27" s="60">
        <v>24.09</v>
      </c>
    </row>
    <row r="28" spans="1:52" ht="15">
      <c r="A28" s="59" t="s">
        <v>116</v>
      </c>
      <c r="B28" s="58" t="s">
        <v>95</v>
      </c>
      <c r="C28" s="61" t="s">
        <v>100</v>
      </c>
      <c r="D28" s="61" t="s">
        <v>100</v>
      </c>
      <c r="E28" s="61" t="s">
        <v>100</v>
      </c>
      <c r="F28" s="61" t="s">
        <v>100</v>
      </c>
      <c r="G28" s="61" t="s">
        <v>100</v>
      </c>
      <c r="H28" s="61" t="s">
        <v>100</v>
      </c>
      <c r="I28" s="61" t="s">
        <v>100</v>
      </c>
      <c r="J28" s="61" t="s">
        <v>100</v>
      </c>
      <c r="K28" s="61" t="s">
        <v>100</v>
      </c>
      <c r="L28" s="61" t="s">
        <v>100</v>
      </c>
      <c r="M28" s="61" t="s">
        <v>100</v>
      </c>
      <c r="N28" s="61" t="s">
        <v>100</v>
      </c>
      <c r="O28" s="61" t="s">
        <v>100</v>
      </c>
      <c r="P28" s="61" t="s">
        <v>100</v>
      </c>
      <c r="Q28" s="61" t="s">
        <v>100</v>
      </c>
      <c r="R28" s="61" t="s">
        <v>100</v>
      </c>
      <c r="S28" s="61" t="s">
        <v>100</v>
      </c>
      <c r="T28" s="61" t="s">
        <v>100</v>
      </c>
      <c r="U28" s="61" t="s">
        <v>100</v>
      </c>
      <c r="V28" s="61" t="s">
        <v>100</v>
      </c>
      <c r="W28" s="61" t="s">
        <v>100</v>
      </c>
      <c r="X28" s="61" t="s">
        <v>100</v>
      </c>
      <c r="Y28" s="61" t="s">
        <v>100</v>
      </c>
      <c r="Z28" s="61" t="s">
        <v>100</v>
      </c>
      <c r="AA28" s="61" t="s">
        <v>100</v>
      </c>
      <c r="AB28" s="61" t="s">
        <v>100</v>
      </c>
      <c r="AC28" s="61" t="s">
        <v>100</v>
      </c>
      <c r="AD28" s="61" t="s">
        <v>100</v>
      </c>
      <c r="AE28" s="61" t="s">
        <v>100</v>
      </c>
      <c r="AF28" s="61" t="s">
        <v>100</v>
      </c>
      <c r="AG28" s="61">
        <v>0.3</v>
      </c>
      <c r="AH28" s="61">
        <v>0.15</v>
      </c>
      <c r="AI28" s="61">
        <v>0.34</v>
      </c>
      <c r="AJ28" s="61">
        <v>0.14</v>
      </c>
      <c r="AK28" s="61">
        <v>0.18</v>
      </c>
      <c r="AL28" s="61">
        <v>0.52</v>
      </c>
      <c r="AM28" s="61">
        <v>0.47</v>
      </c>
      <c r="AN28" s="61">
        <v>0.45</v>
      </c>
      <c r="AO28" s="61">
        <v>0.52</v>
      </c>
      <c r="AP28" s="61">
        <v>0.14</v>
      </c>
      <c r="AQ28" s="61">
        <v>0.18</v>
      </c>
      <c r="AR28" s="61">
        <v>6.08</v>
      </c>
      <c r="AS28" s="61">
        <v>4.72</v>
      </c>
      <c r="AT28" s="61">
        <v>1.51</v>
      </c>
      <c r="AU28" s="61">
        <v>0.96</v>
      </c>
      <c r="AV28" s="61">
        <v>1.46</v>
      </c>
      <c r="AW28" s="61">
        <v>2.13</v>
      </c>
      <c r="AX28" s="61">
        <v>3.2</v>
      </c>
      <c r="AY28" s="61">
        <v>3.59</v>
      </c>
      <c r="AZ28" s="61">
        <v>3.74</v>
      </c>
    </row>
    <row r="29" spans="1:52" ht="15">
      <c r="A29" s="59" t="s">
        <v>117</v>
      </c>
      <c r="B29" s="58" t="s">
        <v>95</v>
      </c>
      <c r="C29" s="60" t="s">
        <v>100</v>
      </c>
      <c r="D29" s="60" t="s">
        <v>100</v>
      </c>
      <c r="E29" s="60" t="s">
        <v>100</v>
      </c>
      <c r="F29" s="60" t="s">
        <v>100</v>
      </c>
      <c r="G29" s="60" t="s">
        <v>100</v>
      </c>
      <c r="H29" s="60" t="s">
        <v>100</v>
      </c>
      <c r="I29" s="60" t="s">
        <v>100</v>
      </c>
      <c r="J29" s="60" t="s">
        <v>100</v>
      </c>
      <c r="K29" s="60" t="s">
        <v>100</v>
      </c>
      <c r="L29" s="60" t="s">
        <v>100</v>
      </c>
      <c r="M29" s="60" t="s">
        <v>100</v>
      </c>
      <c r="N29" s="60">
        <v>0.02</v>
      </c>
      <c r="O29" s="60">
        <v>0.16</v>
      </c>
      <c r="P29" s="60">
        <v>0.35</v>
      </c>
      <c r="Q29" s="60">
        <v>0.19</v>
      </c>
      <c r="R29" s="60">
        <v>0.22</v>
      </c>
      <c r="S29" s="60">
        <v>0.19</v>
      </c>
      <c r="T29" s="60">
        <v>1.56</v>
      </c>
      <c r="U29" s="60">
        <v>1.72</v>
      </c>
      <c r="V29" s="60">
        <v>0.2</v>
      </c>
      <c r="W29" s="60">
        <v>0.18</v>
      </c>
      <c r="X29" s="60">
        <v>0.19</v>
      </c>
      <c r="Y29" s="60" t="s">
        <v>100</v>
      </c>
      <c r="Z29" s="60">
        <v>0.74</v>
      </c>
      <c r="AA29" s="60" t="s">
        <v>100</v>
      </c>
      <c r="AB29" s="60" t="s">
        <v>100</v>
      </c>
      <c r="AC29" s="60">
        <v>0.43</v>
      </c>
      <c r="AD29" s="60">
        <v>0.89</v>
      </c>
      <c r="AE29" s="60">
        <v>3.48</v>
      </c>
      <c r="AF29" s="60">
        <v>2.57</v>
      </c>
      <c r="AG29" s="60">
        <v>3.13</v>
      </c>
      <c r="AH29" s="60">
        <v>0.72</v>
      </c>
      <c r="AI29" s="60">
        <v>5.21</v>
      </c>
      <c r="AJ29" s="60">
        <v>9.95</v>
      </c>
      <c r="AK29" s="60">
        <v>12.37</v>
      </c>
      <c r="AL29" s="60">
        <v>26.6</v>
      </c>
      <c r="AM29" s="60">
        <v>12.34</v>
      </c>
      <c r="AN29" s="60">
        <v>42.94</v>
      </c>
      <c r="AO29" s="60">
        <v>25.47</v>
      </c>
      <c r="AP29" s="60">
        <v>9.36</v>
      </c>
      <c r="AQ29" s="60">
        <v>10.17</v>
      </c>
      <c r="AR29" s="60">
        <v>71.95</v>
      </c>
      <c r="AS29" s="60">
        <v>88.28</v>
      </c>
      <c r="AT29" s="60">
        <v>77.37</v>
      </c>
      <c r="AU29" s="60">
        <v>90.31</v>
      </c>
      <c r="AV29" s="60">
        <v>79.09</v>
      </c>
      <c r="AW29" s="60">
        <v>87.34</v>
      </c>
      <c r="AX29" s="60">
        <v>88.82</v>
      </c>
      <c r="AY29" s="60">
        <v>111.97</v>
      </c>
      <c r="AZ29" s="60">
        <v>147.93</v>
      </c>
    </row>
    <row r="30" spans="1:52" ht="15">
      <c r="A30" s="59" t="s">
        <v>118</v>
      </c>
      <c r="B30" s="58" t="s">
        <v>95</v>
      </c>
      <c r="C30" s="61" t="s">
        <v>100</v>
      </c>
      <c r="D30" s="61" t="s">
        <v>100</v>
      </c>
      <c r="E30" s="61" t="s">
        <v>100</v>
      </c>
      <c r="F30" s="61" t="s">
        <v>100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61" t="s">
        <v>100</v>
      </c>
      <c r="L30" s="61" t="s">
        <v>100</v>
      </c>
      <c r="M30" s="61" t="s">
        <v>100</v>
      </c>
      <c r="N30" s="61" t="s">
        <v>100</v>
      </c>
      <c r="O30" s="61">
        <v>0.01</v>
      </c>
      <c r="P30" s="61">
        <v>0.01</v>
      </c>
      <c r="Q30" s="61">
        <v>0.01</v>
      </c>
      <c r="R30" s="61" t="s">
        <v>100</v>
      </c>
      <c r="S30" s="61">
        <v>0.01</v>
      </c>
      <c r="T30" s="61">
        <v>0.01</v>
      </c>
      <c r="U30" s="61" t="s">
        <v>100</v>
      </c>
      <c r="V30" s="61" t="s">
        <v>100</v>
      </c>
      <c r="W30" s="61" t="s">
        <v>100</v>
      </c>
      <c r="X30" s="61" t="s">
        <v>100</v>
      </c>
      <c r="Y30" s="61" t="s">
        <v>100</v>
      </c>
      <c r="Z30" s="61" t="s">
        <v>100</v>
      </c>
      <c r="AA30" s="61" t="s">
        <v>100</v>
      </c>
      <c r="AB30" s="61">
        <v>0.02</v>
      </c>
      <c r="AC30" s="61">
        <v>0.02</v>
      </c>
      <c r="AD30" s="61" t="s">
        <v>100</v>
      </c>
      <c r="AE30" s="61" t="s">
        <v>100</v>
      </c>
      <c r="AF30" s="61" t="s">
        <v>100</v>
      </c>
      <c r="AG30" s="61" t="s">
        <v>100</v>
      </c>
      <c r="AH30" s="61" t="s">
        <v>100</v>
      </c>
      <c r="AI30" s="61" t="s">
        <v>100</v>
      </c>
      <c r="AJ30" s="61">
        <v>0.03</v>
      </c>
      <c r="AK30" s="61">
        <v>0.03</v>
      </c>
      <c r="AL30" s="61" t="s">
        <v>100</v>
      </c>
      <c r="AM30" s="61">
        <v>0.07</v>
      </c>
      <c r="AN30" s="61">
        <v>0.21</v>
      </c>
      <c r="AO30" s="61">
        <v>0.03</v>
      </c>
      <c r="AP30" s="61">
        <v>0.01</v>
      </c>
      <c r="AQ30" s="61">
        <v>0.11</v>
      </c>
      <c r="AR30" s="61">
        <v>0.6</v>
      </c>
      <c r="AS30" s="61">
        <v>2.04</v>
      </c>
      <c r="AT30" s="61">
        <v>1.4</v>
      </c>
      <c r="AU30" s="61">
        <v>10.01</v>
      </c>
      <c r="AV30" s="61">
        <v>9.22</v>
      </c>
      <c r="AW30" s="61">
        <v>3.32</v>
      </c>
      <c r="AX30" s="61">
        <v>3.73</v>
      </c>
      <c r="AY30" s="61">
        <v>7.8</v>
      </c>
      <c r="AZ30" s="61">
        <v>4.16</v>
      </c>
    </row>
    <row r="31" spans="1:52" ht="15">
      <c r="A31" s="59" t="s">
        <v>119</v>
      </c>
      <c r="B31" s="58" t="s">
        <v>95</v>
      </c>
      <c r="C31" s="60" t="s">
        <v>100</v>
      </c>
      <c r="D31" s="60" t="s">
        <v>100</v>
      </c>
      <c r="E31" s="60" t="s">
        <v>100</v>
      </c>
      <c r="F31" s="60" t="s">
        <v>100</v>
      </c>
      <c r="G31" s="60" t="s">
        <v>100</v>
      </c>
      <c r="H31" s="60" t="s">
        <v>100</v>
      </c>
      <c r="I31" s="60">
        <v>0.01</v>
      </c>
      <c r="J31" s="60" t="s">
        <v>100</v>
      </c>
      <c r="K31" s="60" t="s">
        <v>100</v>
      </c>
      <c r="L31" s="60" t="s">
        <v>100</v>
      </c>
      <c r="M31" s="60" t="s">
        <v>100</v>
      </c>
      <c r="N31" s="60" t="s">
        <v>100</v>
      </c>
      <c r="O31" s="60">
        <v>0.01</v>
      </c>
      <c r="P31" s="60">
        <v>0.02</v>
      </c>
      <c r="Q31" s="60">
        <v>0.03</v>
      </c>
      <c r="R31" s="60">
        <v>0.03</v>
      </c>
      <c r="S31" s="60" t="s">
        <v>100</v>
      </c>
      <c r="T31" s="60">
        <v>0.06</v>
      </c>
      <c r="U31" s="60" t="s">
        <v>100</v>
      </c>
      <c r="V31" s="60" t="s">
        <v>100</v>
      </c>
      <c r="W31" s="60" t="s">
        <v>100</v>
      </c>
      <c r="X31" s="60" t="s">
        <v>100</v>
      </c>
      <c r="Y31" s="60" t="s">
        <v>100</v>
      </c>
      <c r="Z31" s="60">
        <v>5.07</v>
      </c>
      <c r="AA31" s="60" t="s">
        <v>100</v>
      </c>
      <c r="AB31" s="60">
        <v>0.65</v>
      </c>
      <c r="AC31" s="60">
        <v>1.12</v>
      </c>
      <c r="AD31" s="60">
        <v>0.19</v>
      </c>
      <c r="AE31" s="60" t="s">
        <v>100</v>
      </c>
      <c r="AF31" s="60">
        <v>1.17</v>
      </c>
      <c r="AG31" s="60">
        <v>3.35</v>
      </c>
      <c r="AH31" s="60">
        <v>7.99</v>
      </c>
      <c r="AI31" s="60">
        <v>8.47</v>
      </c>
      <c r="AJ31" s="60">
        <v>8.86</v>
      </c>
      <c r="AK31" s="60">
        <v>8.89</v>
      </c>
      <c r="AL31" s="60">
        <v>9.2</v>
      </c>
      <c r="AM31" s="60">
        <v>7.55</v>
      </c>
      <c r="AN31" s="60">
        <v>8.84</v>
      </c>
      <c r="AO31" s="60">
        <v>8.13</v>
      </c>
      <c r="AP31" s="60">
        <v>7.13</v>
      </c>
      <c r="AQ31" s="60">
        <v>12.57</v>
      </c>
      <c r="AR31" s="60">
        <v>39.71</v>
      </c>
      <c r="AS31" s="60">
        <v>60.86</v>
      </c>
      <c r="AT31" s="60">
        <v>68.78</v>
      </c>
      <c r="AU31" s="60">
        <v>67.73</v>
      </c>
      <c r="AV31" s="60">
        <v>59.95</v>
      </c>
      <c r="AW31" s="60">
        <v>69.68</v>
      </c>
      <c r="AX31" s="60">
        <v>94.42</v>
      </c>
      <c r="AY31" s="60">
        <v>129.05</v>
      </c>
      <c r="AZ31" s="60">
        <v>115.93</v>
      </c>
    </row>
    <row r="32" spans="1:52" ht="15">
      <c r="A32" s="59" t="s">
        <v>120</v>
      </c>
      <c r="B32" s="58" t="s">
        <v>95</v>
      </c>
      <c r="C32" s="61" t="s">
        <v>100</v>
      </c>
      <c r="D32" s="61" t="s">
        <v>100</v>
      </c>
      <c r="E32" s="61" t="s">
        <v>100</v>
      </c>
      <c r="F32" s="61" t="s">
        <v>100</v>
      </c>
      <c r="G32" s="61" t="s">
        <v>100</v>
      </c>
      <c r="H32" s="61" t="s">
        <v>100</v>
      </c>
      <c r="I32" s="61" t="s">
        <v>100</v>
      </c>
      <c r="J32" s="61" t="s">
        <v>100</v>
      </c>
      <c r="K32" s="61" t="s">
        <v>100</v>
      </c>
      <c r="L32" s="61" t="s">
        <v>100</v>
      </c>
      <c r="M32" s="61" t="s">
        <v>100</v>
      </c>
      <c r="N32" s="61" t="s">
        <v>100</v>
      </c>
      <c r="O32" s="61" t="s">
        <v>100</v>
      </c>
      <c r="P32" s="61" t="s">
        <v>100</v>
      </c>
      <c r="Q32" s="61" t="s">
        <v>100</v>
      </c>
      <c r="R32" s="61" t="s">
        <v>100</v>
      </c>
      <c r="S32" s="61" t="s">
        <v>100</v>
      </c>
      <c r="T32" s="61" t="s">
        <v>100</v>
      </c>
      <c r="U32" s="61" t="s">
        <v>100</v>
      </c>
      <c r="V32" s="61" t="s">
        <v>100</v>
      </c>
      <c r="W32" s="61" t="s">
        <v>100</v>
      </c>
      <c r="X32" s="61" t="s">
        <v>100</v>
      </c>
      <c r="Y32" s="61" t="s">
        <v>100</v>
      </c>
      <c r="Z32" s="61" t="s">
        <v>100</v>
      </c>
      <c r="AA32" s="61" t="s">
        <v>100</v>
      </c>
      <c r="AB32" s="61" t="s">
        <v>100</v>
      </c>
      <c r="AC32" s="61" t="s">
        <v>100</v>
      </c>
      <c r="AD32" s="61" t="s">
        <v>100</v>
      </c>
      <c r="AE32" s="61" t="s">
        <v>100</v>
      </c>
      <c r="AF32" s="61" t="s">
        <v>100</v>
      </c>
      <c r="AG32" s="61" t="s">
        <v>100</v>
      </c>
      <c r="AH32" s="61" t="s">
        <v>100</v>
      </c>
      <c r="AI32" s="61" t="s">
        <v>100</v>
      </c>
      <c r="AJ32" s="61" t="s">
        <v>100</v>
      </c>
      <c r="AK32" s="61" t="s">
        <v>100</v>
      </c>
      <c r="AL32" s="61" t="s">
        <v>100</v>
      </c>
      <c r="AM32" s="61" t="s">
        <v>100</v>
      </c>
      <c r="AN32" s="61" t="s">
        <v>100</v>
      </c>
      <c r="AO32" s="61" t="s">
        <v>100</v>
      </c>
      <c r="AP32" s="61" t="s">
        <v>100</v>
      </c>
      <c r="AQ32" s="61" t="s">
        <v>100</v>
      </c>
      <c r="AR32" s="61" t="s">
        <v>100</v>
      </c>
      <c r="AS32" s="61">
        <v>1</v>
      </c>
      <c r="AT32" s="61">
        <v>0.24</v>
      </c>
      <c r="AU32" s="61">
        <v>1.98</v>
      </c>
      <c r="AV32" s="61">
        <v>5.55</v>
      </c>
      <c r="AW32" s="61">
        <v>6.58</v>
      </c>
      <c r="AX32" s="61">
        <v>8.99</v>
      </c>
      <c r="AY32" s="61">
        <v>14.18</v>
      </c>
      <c r="AZ32" s="61">
        <v>11.64</v>
      </c>
    </row>
    <row r="33" spans="1:52" ht="15">
      <c r="A33" s="59" t="s">
        <v>121</v>
      </c>
      <c r="B33" s="58" t="s">
        <v>95</v>
      </c>
      <c r="C33" s="60" t="s">
        <v>100</v>
      </c>
      <c r="D33" s="60" t="s">
        <v>100</v>
      </c>
      <c r="E33" s="60" t="s">
        <v>100</v>
      </c>
      <c r="F33" s="60" t="s">
        <v>100</v>
      </c>
      <c r="G33" s="60" t="s">
        <v>100</v>
      </c>
      <c r="H33" s="60" t="s">
        <v>100</v>
      </c>
      <c r="I33" s="60" t="s">
        <v>100</v>
      </c>
      <c r="J33" s="60" t="s">
        <v>100</v>
      </c>
      <c r="K33" s="60" t="s">
        <v>100</v>
      </c>
      <c r="L33" s="60" t="s">
        <v>100</v>
      </c>
      <c r="M33" s="60" t="s">
        <v>100</v>
      </c>
      <c r="N33" s="60" t="s">
        <v>100</v>
      </c>
      <c r="O33" s="60" t="s">
        <v>100</v>
      </c>
      <c r="P33" s="60" t="s">
        <v>100</v>
      </c>
      <c r="Q33" s="60" t="s">
        <v>100</v>
      </c>
      <c r="R33" s="60" t="s">
        <v>100</v>
      </c>
      <c r="S33" s="60" t="s">
        <v>100</v>
      </c>
      <c r="T33" s="60" t="s">
        <v>100</v>
      </c>
      <c r="U33" s="60" t="s">
        <v>100</v>
      </c>
      <c r="V33" s="60" t="s">
        <v>100</v>
      </c>
      <c r="W33" s="60" t="s">
        <v>100</v>
      </c>
      <c r="X33" s="60" t="s">
        <v>100</v>
      </c>
      <c r="Y33" s="60" t="s">
        <v>100</v>
      </c>
      <c r="Z33" s="60" t="s">
        <v>100</v>
      </c>
      <c r="AA33" s="60" t="s">
        <v>100</v>
      </c>
      <c r="AB33" s="60" t="s">
        <v>100</v>
      </c>
      <c r="AC33" s="60" t="s">
        <v>100</v>
      </c>
      <c r="AD33" s="60" t="s">
        <v>100</v>
      </c>
      <c r="AE33" s="60" t="s">
        <v>100</v>
      </c>
      <c r="AF33" s="60" t="s">
        <v>100</v>
      </c>
      <c r="AG33" s="60" t="s">
        <v>100</v>
      </c>
      <c r="AH33" s="60" t="s">
        <v>100</v>
      </c>
      <c r="AI33" s="60">
        <v>0.02</v>
      </c>
      <c r="AJ33" s="60" t="s">
        <v>100</v>
      </c>
      <c r="AK33" s="60" t="s">
        <v>100</v>
      </c>
      <c r="AL33" s="60">
        <v>0.12</v>
      </c>
      <c r="AM33" s="60" t="s">
        <v>100</v>
      </c>
      <c r="AN33" s="60">
        <v>0.09</v>
      </c>
      <c r="AO33" s="60" t="s">
        <v>100</v>
      </c>
      <c r="AP33" s="60">
        <v>0.12</v>
      </c>
      <c r="AQ33" s="60" t="s">
        <v>100</v>
      </c>
      <c r="AR33" s="60">
        <v>5.92</v>
      </c>
      <c r="AS33" s="60">
        <v>17.81</v>
      </c>
      <c r="AT33" s="60">
        <v>5.15</v>
      </c>
      <c r="AU33" s="60">
        <v>16.56</v>
      </c>
      <c r="AV33" s="60">
        <v>19</v>
      </c>
      <c r="AW33" s="60">
        <v>18.11</v>
      </c>
      <c r="AX33" s="60">
        <v>43.5</v>
      </c>
      <c r="AY33" s="60">
        <v>71.79</v>
      </c>
      <c r="AZ33" s="60">
        <v>98.91</v>
      </c>
    </row>
    <row r="34" spans="1:52" ht="15">
      <c r="A34" s="59" t="s">
        <v>122</v>
      </c>
      <c r="B34" s="58" t="s">
        <v>95</v>
      </c>
      <c r="C34" s="61" t="s">
        <v>100</v>
      </c>
      <c r="D34" s="61" t="s">
        <v>100</v>
      </c>
      <c r="E34" s="61" t="s">
        <v>100</v>
      </c>
      <c r="F34" s="61" t="s">
        <v>100</v>
      </c>
      <c r="G34" s="61" t="s">
        <v>100</v>
      </c>
      <c r="H34" s="61">
        <v>0.15</v>
      </c>
      <c r="I34" s="61" t="s">
        <v>100</v>
      </c>
      <c r="J34" s="61">
        <v>0.04</v>
      </c>
      <c r="K34" s="61">
        <v>0.25</v>
      </c>
      <c r="L34" s="61">
        <v>0.51</v>
      </c>
      <c r="M34" s="61">
        <v>0.57</v>
      </c>
      <c r="N34" s="61">
        <v>0.59</v>
      </c>
      <c r="O34" s="61">
        <v>0.81</v>
      </c>
      <c r="P34" s="61">
        <v>0.42</v>
      </c>
      <c r="Q34" s="61">
        <v>1.1</v>
      </c>
      <c r="R34" s="61">
        <v>0.57</v>
      </c>
      <c r="S34" s="61">
        <v>0.99</v>
      </c>
      <c r="T34" s="61">
        <v>0.86</v>
      </c>
      <c r="U34" s="61">
        <v>0.45</v>
      </c>
      <c r="V34" s="61" t="s">
        <v>100</v>
      </c>
      <c r="W34" s="61">
        <v>1.05</v>
      </c>
      <c r="X34" s="61" t="s">
        <v>100</v>
      </c>
      <c r="Y34" s="61">
        <v>0.06</v>
      </c>
      <c r="Z34" s="61">
        <v>0.46</v>
      </c>
      <c r="AA34" s="61">
        <v>1.49</v>
      </c>
      <c r="AB34" s="61">
        <v>1.02</v>
      </c>
      <c r="AC34" s="61">
        <v>2.81</v>
      </c>
      <c r="AD34" s="61">
        <v>5.44</v>
      </c>
      <c r="AE34" s="61">
        <v>14.72</v>
      </c>
      <c r="AF34" s="61">
        <v>16.7</v>
      </c>
      <c r="AG34" s="61">
        <v>16.05</v>
      </c>
      <c r="AH34" s="61">
        <v>4.84</v>
      </c>
      <c r="AI34" s="61">
        <v>12.97</v>
      </c>
      <c r="AJ34" s="61">
        <v>9.09</v>
      </c>
      <c r="AK34" s="61">
        <v>12.35</v>
      </c>
      <c r="AL34" s="61">
        <v>15.3</v>
      </c>
      <c r="AM34" s="61">
        <v>14.75</v>
      </c>
      <c r="AN34" s="61">
        <v>12.2</v>
      </c>
      <c r="AO34" s="61">
        <v>12.51</v>
      </c>
      <c r="AP34" s="61">
        <v>10.31</v>
      </c>
      <c r="AQ34" s="61">
        <v>11.5</v>
      </c>
      <c r="AR34" s="61">
        <v>20.6</v>
      </c>
      <c r="AS34" s="61">
        <v>27.52</v>
      </c>
      <c r="AT34" s="61">
        <v>41.88</v>
      </c>
      <c r="AU34" s="61">
        <v>55.68</v>
      </c>
      <c r="AV34" s="61">
        <v>44.22</v>
      </c>
      <c r="AW34" s="61">
        <v>46.42</v>
      </c>
      <c r="AX34" s="61">
        <v>56.15</v>
      </c>
      <c r="AY34" s="61">
        <v>73.89</v>
      </c>
      <c r="AZ34" s="61">
        <v>80.07</v>
      </c>
    </row>
    <row r="35" spans="1:52" ht="15">
      <c r="A35" s="59" t="s">
        <v>123</v>
      </c>
      <c r="B35" s="58" t="s">
        <v>95</v>
      </c>
      <c r="C35" s="60" t="s">
        <v>100</v>
      </c>
      <c r="D35" s="60" t="s">
        <v>100</v>
      </c>
      <c r="E35" s="60" t="s">
        <v>100</v>
      </c>
      <c r="F35" s="60" t="s">
        <v>100</v>
      </c>
      <c r="G35" s="60" t="s">
        <v>100</v>
      </c>
      <c r="H35" s="60">
        <v>0.01</v>
      </c>
      <c r="I35" s="60" t="s">
        <v>100</v>
      </c>
      <c r="J35" s="60">
        <v>0.01</v>
      </c>
      <c r="K35" s="60">
        <v>0.01</v>
      </c>
      <c r="L35" s="60">
        <v>0.02</v>
      </c>
      <c r="M35" s="60">
        <v>0.02</v>
      </c>
      <c r="N35" s="60" t="s">
        <v>100</v>
      </c>
      <c r="O35" s="60">
        <v>0.07</v>
      </c>
      <c r="P35" s="60">
        <v>0.05</v>
      </c>
      <c r="Q35" s="60">
        <v>0.04</v>
      </c>
      <c r="R35" s="60">
        <v>0.21</v>
      </c>
      <c r="S35" s="60">
        <v>0.34</v>
      </c>
      <c r="T35" s="60">
        <v>0.54</v>
      </c>
      <c r="U35" s="60">
        <v>0.67</v>
      </c>
      <c r="V35" s="60">
        <v>0.58</v>
      </c>
      <c r="W35" s="60">
        <v>0.2</v>
      </c>
      <c r="X35" s="60">
        <v>0.03</v>
      </c>
      <c r="Y35" s="60">
        <v>0.01</v>
      </c>
      <c r="Z35" s="60" t="s">
        <v>100</v>
      </c>
      <c r="AA35" s="60" t="s">
        <v>100</v>
      </c>
      <c r="AB35" s="60" t="s">
        <v>100</v>
      </c>
      <c r="AC35" s="60" t="s">
        <v>100</v>
      </c>
      <c r="AD35" s="60" t="s">
        <v>100</v>
      </c>
      <c r="AE35" s="60">
        <v>4.78</v>
      </c>
      <c r="AF35" s="60">
        <v>1.81</v>
      </c>
      <c r="AG35" s="60">
        <v>2.01</v>
      </c>
      <c r="AH35" s="60">
        <v>2.74</v>
      </c>
      <c r="AI35" s="60">
        <v>3.93</v>
      </c>
      <c r="AJ35" s="60">
        <v>1.5</v>
      </c>
      <c r="AK35" s="60">
        <v>1.6</v>
      </c>
      <c r="AL35" s="60">
        <v>3.41</v>
      </c>
      <c r="AM35" s="60">
        <v>1.46</v>
      </c>
      <c r="AN35" s="60">
        <v>2.19</v>
      </c>
      <c r="AO35" s="60">
        <v>3.3</v>
      </c>
      <c r="AP35" s="60">
        <v>2.74</v>
      </c>
      <c r="AQ35" s="60">
        <v>5.11</v>
      </c>
      <c r="AR35" s="60">
        <v>7.47</v>
      </c>
      <c r="AS35" s="60">
        <v>13.3</v>
      </c>
      <c r="AT35" s="60">
        <v>15.04</v>
      </c>
      <c r="AU35" s="60">
        <v>18.81</v>
      </c>
      <c r="AV35" s="60">
        <v>17.67</v>
      </c>
      <c r="AW35" s="60">
        <v>17.58</v>
      </c>
      <c r="AX35" s="60">
        <v>19.69</v>
      </c>
      <c r="AY35" s="60">
        <v>15.79</v>
      </c>
      <c r="AZ35" s="60">
        <v>20.03</v>
      </c>
    </row>
    <row r="36" spans="1:52" ht="15">
      <c r="A36" s="59" t="s">
        <v>124</v>
      </c>
      <c r="B36" s="58" t="s">
        <v>95</v>
      </c>
      <c r="C36" s="61" t="s">
        <v>100</v>
      </c>
      <c r="D36" s="61" t="s">
        <v>100</v>
      </c>
      <c r="E36" s="61" t="s">
        <v>100</v>
      </c>
      <c r="F36" s="61" t="s">
        <v>100</v>
      </c>
      <c r="G36" s="61">
        <v>0.44</v>
      </c>
      <c r="H36" s="61">
        <v>1.51</v>
      </c>
      <c r="I36" s="61">
        <v>0.37</v>
      </c>
      <c r="J36" s="61">
        <v>0.75</v>
      </c>
      <c r="K36" s="61">
        <v>0.2</v>
      </c>
      <c r="L36" s="61">
        <v>0.42</v>
      </c>
      <c r="M36" s="61">
        <v>-0.03</v>
      </c>
      <c r="N36" s="61">
        <v>0.25</v>
      </c>
      <c r="O36" s="61">
        <v>0.22</v>
      </c>
      <c r="P36" s="61">
        <v>0.43</v>
      </c>
      <c r="Q36" s="61">
        <v>0.44</v>
      </c>
      <c r="R36" s="61">
        <v>0.22</v>
      </c>
      <c r="S36" s="61">
        <v>0.66</v>
      </c>
      <c r="T36" s="61">
        <v>2.95</v>
      </c>
      <c r="U36" s="61">
        <v>1.67</v>
      </c>
      <c r="V36" s="61">
        <v>2.86</v>
      </c>
      <c r="W36" s="61">
        <v>1.13</v>
      </c>
      <c r="X36" s="61">
        <v>0.05</v>
      </c>
      <c r="Y36" s="61">
        <v>0.02</v>
      </c>
      <c r="Z36" s="61">
        <v>0.25</v>
      </c>
      <c r="AA36" s="61">
        <v>0.42</v>
      </c>
      <c r="AB36" s="61">
        <v>0.52</v>
      </c>
      <c r="AC36" s="61">
        <v>0.55</v>
      </c>
      <c r="AD36" s="61">
        <v>0.97</v>
      </c>
      <c r="AE36" s="61">
        <v>2.31</v>
      </c>
      <c r="AF36" s="61">
        <v>4.01</v>
      </c>
      <c r="AG36" s="61">
        <v>2.32</v>
      </c>
      <c r="AH36" s="61">
        <v>3.13</v>
      </c>
      <c r="AI36" s="61">
        <v>2.99</v>
      </c>
      <c r="AJ36" s="61">
        <v>2.15</v>
      </c>
      <c r="AK36" s="61">
        <v>5.2</v>
      </c>
      <c r="AL36" s="61">
        <v>10.84</v>
      </c>
      <c r="AM36" s="61">
        <v>8.58</v>
      </c>
      <c r="AN36" s="61">
        <v>9.43</v>
      </c>
      <c r="AO36" s="61">
        <v>9.12</v>
      </c>
      <c r="AP36" s="61">
        <v>6.02</v>
      </c>
      <c r="AQ36" s="61">
        <v>12.65</v>
      </c>
      <c r="AR36" s="61">
        <v>35.44</v>
      </c>
      <c r="AS36" s="61">
        <v>130.8</v>
      </c>
      <c r="AT36" s="61">
        <v>98.61</v>
      </c>
      <c r="AU36" s="61">
        <v>224.01</v>
      </c>
      <c r="AV36" s="61">
        <v>219.92</v>
      </c>
      <c r="AW36" s="61">
        <v>246.49</v>
      </c>
      <c r="AX36" s="61">
        <v>268.71</v>
      </c>
      <c r="AY36" s="61">
        <v>322.31</v>
      </c>
      <c r="AZ36" s="61">
        <v>324.39</v>
      </c>
    </row>
    <row r="37" spans="1:52" ht="15">
      <c r="A37" s="59" t="s">
        <v>125</v>
      </c>
      <c r="B37" s="58" t="s">
        <v>95</v>
      </c>
      <c r="C37" s="60">
        <v>15</v>
      </c>
      <c r="D37" s="60">
        <v>30</v>
      </c>
      <c r="E37" s="60">
        <v>13</v>
      </c>
      <c r="F37" s="60">
        <v>32</v>
      </c>
      <c r="G37" s="60">
        <v>37</v>
      </c>
      <c r="H37" s="60">
        <v>33.47</v>
      </c>
      <c r="I37" s="60">
        <v>29.97</v>
      </c>
      <c r="J37" s="60">
        <v>26.39</v>
      </c>
      <c r="K37" s="60">
        <v>16.92</v>
      </c>
      <c r="L37" s="60">
        <v>15</v>
      </c>
      <c r="M37" s="60">
        <v>12</v>
      </c>
      <c r="N37" s="60">
        <v>22</v>
      </c>
      <c r="O37" s="60">
        <v>25</v>
      </c>
      <c r="P37" s="60">
        <v>33</v>
      </c>
      <c r="Q37" s="60">
        <v>12</v>
      </c>
      <c r="R37" s="60">
        <v>17</v>
      </c>
      <c r="S37" s="60">
        <v>21</v>
      </c>
      <c r="T37" s="60">
        <v>12</v>
      </c>
      <c r="U37" s="60">
        <v>11</v>
      </c>
      <c r="V37" s="60">
        <v>12</v>
      </c>
      <c r="W37" s="60">
        <v>2</v>
      </c>
      <c r="X37" s="60">
        <v>-7</v>
      </c>
      <c r="Y37" s="60">
        <v>-2</v>
      </c>
      <c r="Z37" s="60">
        <v>-2</v>
      </c>
      <c r="AA37" s="60">
        <v>-3</v>
      </c>
      <c r="AB37" s="60" t="s">
        <v>100</v>
      </c>
      <c r="AC37" s="60">
        <v>-5</v>
      </c>
      <c r="AD37" s="60">
        <v>29</v>
      </c>
      <c r="AE37" s="60">
        <v>29</v>
      </c>
      <c r="AF37" s="60">
        <v>40</v>
      </c>
      <c r="AG37" s="60">
        <v>56</v>
      </c>
      <c r="AH37" s="60">
        <v>59</v>
      </c>
      <c r="AI37" s="60">
        <v>65</v>
      </c>
      <c r="AJ37" s="60">
        <v>42</v>
      </c>
      <c r="AK37" s="60">
        <v>53</v>
      </c>
      <c r="AL37" s="60">
        <v>2</v>
      </c>
      <c r="AM37" s="60">
        <v>2</v>
      </c>
      <c r="AN37" s="60" t="s">
        <v>100</v>
      </c>
      <c r="AO37" s="60" t="s">
        <v>100</v>
      </c>
      <c r="AP37" s="60">
        <v>32.08</v>
      </c>
      <c r="AQ37" s="60">
        <v>2.42</v>
      </c>
      <c r="AR37" s="60">
        <v>7.7</v>
      </c>
      <c r="AS37" s="60">
        <v>367.61</v>
      </c>
      <c r="AT37" s="60">
        <v>485.79</v>
      </c>
      <c r="AU37" s="60">
        <v>778.29</v>
      </c>
      <c r="AV37" s="60">
        <v>1318.3</v>
      </c>
      <c r="AW37" s="60">
        <v>1403.71</v>
      </c>
      <c r="AX37" s="60">
        <v>1486.12</v>
      </c>
      <c r="AY37" s="60">
        <v>2106.32</v>
      </c>
      <c r="AZ37" s="60">
        <v>2979.93</v>
      </c>
    </row>
    <row r="38" spans="1:52" ht="15">
      <c r="A38" s="62" t="s">
        <v>126</v>
      </c>
      <c r="B38" s="58" t="s">
        <v>95</v>
      </c>
      <c r="C38" s="61" t="s">
        <v>100</v>
      </c>
      <c r="D38" s="61" t="s">
        <v>100</v>
      </c>
      <c r="E38" s="61" t="s">
        <v>100</v>
      </c>
      <c r="F38" s="61" t="s">
        <v>100</v>
      </c>
      <c r="G38" s="61" t="s">
        <v>100</v>
      </c>
      <c r="H38" s="61" t="s">
        <v>100</v>
      </c>
      <c r="I38" s="61" t="s">
        <v>100</v>
      </c>
      <c r="J38" s="61" t="s">
        <v>100</v>
      </c>
      <c r="K38" s="61" t="s">
        <v>100</v>
      </c>
      <c r="L38" s="61" t="s">
        <v>100</v>
      </c>
      <c r="M38" s="61">
        <v>0.16</v>
      </c>
      <c r="N38" s="61">
        <v>0.28</v>
      </c>
      <c r="O38" s="61">
        <v>1.34</v>
      </c>
      <c r="P38" s="61">
        <v>2.47</v>
      </c>
      <c r="Q38" s="61">
        <v>1.29</v>
      </c>
      <c r="R38" s="61">
        <v>0.46</v>
      </c>
      <c r="S38" s="61">
        <v>1.68</v>
      </c>
      <c r="T38" s="61">
        <v>0.38</v>
      </c>
      <c r="U38" s="61">
        <v>1.59</v>
      </c>
      <c r="V38" s="61">
        <v>0.03</v>
      </c>
      <c r="W38" s="61" t="s">
        <v>100</v>
      </c>
      <c r="X38" s="61" t="s">
        <v>100</v>
      </c>
      <c r="Y38" s="61" t="s">
        <v>100</v>
      </c>
      <c r="Z38" s="61" t="s">
        <v>100</v>
      </c>
      <c r="AA38" s="61" t="s">
        <v>100</v>
      </c>
      <c r="AB38" s="61" t="s">
        <v>100</v>
      </c>
      <c r="AC38" s="61" t="s">
        <v>100</v>
      </c>
      <c r="AD38" s="61">
        <v>1.58</v>
      </c>
      <c r="AE38" s="61">
        <v>0.33</v>
      </c>
      <c r="AF38" s="61">
        <v>7.74</v>
      </c>
      <c r="AG38" s="61">
        <v>2.3</v>
      </c>
      <c r="AH38" s="61">
        <v>5.64</v>
      </c>
      <c r="AI38" s="61">
        <v>13.48</v>
      </c>
      <c r="AJ38" s="61">
        <v>23.82</v>
      </c>
      <c r="AK38" s="61">
        <v>23.84</v>
      </c>
      <c r="AL38" s="61">
        <v>24.56</v>
      </c>
      <c r="AM38" s="61">
        <v>38.33</v>
      </c>
      <c r="AN38" s="61">
        <v>54.81</v>
      </c>
      <c r="AO38" s="61">
        <v>43.73</v>
      </c>
      <c r="AP38" s="61">
        <v>14.67</v>
      </c>
      <c r="AQ38" s="61">
        <v>17.73</v>
      </c>
      <c r="AR38" s="61">
        <v>45.79</v>
      </c>
      <c r="AS38" s="61">
        <v>143.72</v>
      </c>
      <c r="AT38" s="61">
        <v>208.03</v>
      </c>
      <c r="AU38" s="61">
        <v>212</v>
      </c>
      <c r="AV38" s="61">
        <v>256.62</v>
      </c>
      <c r="AW38" s="61">
        <v>220.9</v>
      </c>
      <c r="AX38" s="61">
        <v>307.46</v>
      </c>
      <c r="AY38" s="61">
        <v>349.31</v>
      </c>
      <c r="AZ38" s="61">
        <v>395.36</v>
      </c>
    </row>
    <row r="39" spans="1:52" ht="15">
      <c r="A39" s="59" t="s">
        <v>127</v>
      </c>
      <c r="B39" s="58" t="s">
        <v>95</v>
      </c>
      <c r="C39" s="60" t="s">
        <v>100</v>
      </c>
      <c r="D39" s="60" t="s">
        <v>100</v>
      </c>
      <c r="E39" s="60" t="s">
        <v>100</v>
      </c>
      <c r="F39" s="60" t="s">
        <v>100</v>
      </c>
      <c r="G39" s="60" t="s">
        <v>100</v>
      </c>
      <c r="H39" s="60" t="s">
        <v>100</v>
      </c>
      <c r="I39" s="60" t="s">
        <v>100</v>
      </c>
      <c r="J39" s="60" t="s">
        <v>100</v>
      </c>
      <c r="K39" s="60" t="s">
        <v>100</v>
      </c>
      <c r="L39" s="60" t="s">
        <v>100</v>
      </c>
      <c r="M39" s="60" t="s">
        <v>100</v>
      </c>
      <c r="N39" s="60" t="s">
        <v>100</v>
      </c>
      <c r="O39" s="60" t="s">
        <v>100</v>
      </c>
      <c r="P39" s="60" t="s">
        <v>100</v>
      </c>
      <c r="Q39" s="60" t="s">
        <v>100</v>
      </c>
      <c r="R39" s="60" t="s">
        <v>100</v>
      </c>
      <c r="S39" s="60" t="s">
        <v>100</v>
      </c>
      <c r="T39" s="60" t="s">
        <v>100</v>
      </c>
      <c r="U39" s="60" t="s">
        <v>100</v>
      </c>
      <c r="V39" s="60" t="s">
        <v>100</v>
      </c>
      <c r="W39" s="60" t="s">
        <v>100</v>
      </c>
      <c r="X39" s="60" t="s">
        <v>100</v>
      </c>
      <c r="Y39" s="60" t="s">
        <v>100</v>
      </c>
      <c r="Z39" s="60" t="s">
        <v>100</v>
      </c>
      <c r="AA39" s="60" t="s">
        <v>100</v>
      </c>
      <c r="AB39" s="60" t="s">
        <v>100</v>
      </c>
      <c r="AC39" s="60" t="s">
        <v>100</v>
      </c>
      <c r="AD39" s="60" t="s">
        <v>100</v>
      </c>
      <c r="AE39" s="60" t="s">
        <v>100</v>
      </c>
      <c r="AF39" s="60" t="s">
        <v>100</v>
      </c>
      <c r="AG39" s="60" t="s">
        <v>100</v>
      </c>
      <c r="AH39" s="60" t="s">
        <v>100</v>
      </c>
      <c r="AI39" s="60" t="s">
        <v>100</v>
      </c>
      <c r="AJ39" s="60" t="s">
        <v>100</v>
      </c>
      <c r="AK39" s="60" t="s">
        <v>100</v>
      </c>
      <c r="AL39" s="60" t="s">
        <v>100</v>
      </c>
      <c r="AM39" s="60" t="s">
        <v>100</v>
      </c>
      <c r="AN39" s="60" t="s">
        <v>100</v>
      </c>
      <c r="AO39" s="60" t="s">
        <v>100</v>
      </c>
      <c r="AP39" s="60" t="s">
        <v>100</v>
      </c>
      <c r="AQ39" s="60" t="s">
        <v>100</v>
      </c>
      <c r="AR39" s="60" t="s">
        <v>100</v>
      </c>
      <c r="AS39" s="60" t="s">
        <v>100</v>
      </c>
      <c r="AT39" s="60" t="s">
        <v>100</v>
      </c>
      <c r="AU39" s="60" t="s">
        <v>100</v>
      </c>
      <c r="AV39" s="60" t="s">
        <v>100</v>
      </c>
      <c r="AW39" s="60" t="s">
        <v>100</v>
      </c>
      <c r="AX39" s="60" t="s">
        <v>100</v>
      </c>
      <c r="AY39" s="60" t="s">
        <v>100</v>
      </c>
      <c r="AZ39" s="60" t="s">
        <v>100</v>
      </c>
    </row>
    <row r="40" spans="1:52" ht="15">
      <c r="A40" s="59" t="s">
        <v>30</v>
      </c>
      <c r="B40" s="58" t="s">
        <v>95</v>
      </c>
      <c r="C40" s="61" t="s">
        <v>100</v>
      </c>
      <c r="D40" s="61" t="s">
        <v>100</v>
      </c>
      <c r="E40" s="61" t="s">
        <v>100</v>
      </c>
      <c r="F40" s="61" t="s">
        <v>100</v>
      </c>
      <c r="G40" s="61" t="s">
        <v>100</v>
      </c>
      <c r="H40" s="61" t="s">
        <v>100</v>
      </c>
      <c r="I40" s="61" t="s">
        <v>100</v>
      </c>
      <c r="J40" s="61" t="s">
        <v>100</v>
      </c>
      <c r="K40" s="61" t="s">
        <v>100</v>
      </c>
      <c r="L40" s="61" t="s">
        <v>100</v>
      </c>
      <c r="M40" s="61" t="s">
        <v>100</v>
      </c>
      <c r="N40" s="61" t="s">
        <v>100</v>
      </c>
      <c r="O40" s="61" t="s">
        <v>100</v>
      </c>
      <c r="P40" s="61" t="s">
        <v>100</v>
      </c>
      <c r="Q40" s="61" t="s">
        <v>100</v>
      </c>
      <c r="R40" s="61" t="s">
        <v>100</v>
      </c>
      <c r="S40" s="61" t="s">
        <v>100</v>
      </c>
      <c r="T40" s="61" t="s">
        <v>100</v>
      </c>
      <c r="U40" s="61" t="s">
        <v>100</v>
      </c>
      <c r="V40" s="61" t="s">
        <v>100</v>
      </c>
      <c r="W40" s="61" t="s">
        <v>100</v>
      </c>
      <c r="X40" s="61" t="s">
        <v>100</v>
      </c>
      <c r="Y40" s="61" t="s">
        <v>100</v>
      </c>
      <c r="Z40" s="61" t="s">
        <v>100</v>
      </c>
      <c r="AA40" s="61" t="s">
        <v>100</v>
      </c>
      <c r="AB40" s="61" t="s">
        <v>100</v>
      </c>
      <c r="AC40" s="61" t="s">
        <v>100</v>
      </c>
      <c r="AD40" s="61" t="s">
        <v>100</v>
      </c>
      <c r="AE40" s="61" t="s">
        <v>100</v>
      </c>
      <c r="AF40" s="61" t="s">
        <v>100</v>
      </c>
      <c r="AG40" s="61" t="s">
        <v>100</v>
      </c>
      <c r="AH40" s="61" t="s">
        <v>100</v>
      </c>
      <c r="AI40" s="61" t="s">
        <v>100</v>
      </c>
      <c r="AJ40" s="61" t="s">
        <v>100</v>
      </c>
      <c r="AK40" s="61" t="s">
        <v>100</v>
      </c>
      <c r="AL40" s="61" t="s">
        <v>100</v>
      </c>
      <c r="AM40" s="61" t="s">
        <v>100</v>
      </c>
      <c r="AN40" s="61" t="s">
        <v>100</v>
      </c>
      <c r="AO40" s="61" t="s">
        <v>100</v>
      </c>
      <c r="AP40" s="61" t="s">
        <v>100</v>
      </c>
      <c r="AQ40" s="61">
        <v>0.05</v>
      </c>
      <c r="AR40" s="61">
        <v>0.64</v>
      </c>
      <c r="AS40" s="61">
        <v>0.73</v>
      </c>
      <c r="AT40" s="61">
        <v>6.12</v>
      </c>
      <c r="AU40" s="61">
        <v>6.08</v>
      </c>
      <c r="AV40" s="61">
        <v>1.96</v>
      </c>
      <c r="AW40" s="61">
        <v>4.2</v>
      </c>
      <c r="AX40" s="61">
        <v>10.62</v>
      </c>
      <c r="AY40" s="61">
        <v>42.1</v>
      </c>
      <c r="AZ40" s="61">
        <v>26.09</v>
      </c>
    </row>
    <row r="41" spans="1:52" ht="15">
      <c r="A41" s="59" t="s">
        <v>128</v>
      </c>
      <c r="B41" s="58" t="s">
        <v>95</v>
      </c>
      <c r="C41" s="60" t="s">
        <v>100</v>
      </c>
      <c r="D41" s="60" t="s">
        <v>100</v>
      </c>
      <c r="E41" s="60" t="s">
        <v>100</v>
      </c>
      <c r="F41" s="60" t="s">
        <v>100</v>
      </c>
      <c r="G41" s="60" t="s">
        <v>100</v>
      </c>
      <c r="H41" s="60" t="s">
        <v>100</v>
      </c>
      <c r="I41" s="60" t="s">
        <v>100</v>
      </c>
      <c r="J41" s="60" t="s">
        <v>100</v>
      </c>
      <c r="K41" s="60" t="s">
        <v>100</v>
      </c>
      <c r="L41" s="60" t="s">
        <v>100</v>
      </c>
      <c r="M41" s="60" t="s">
        <v>100</v>
      </c>
      <c r="N41" s="60" t="s">
        <v>100</v>
      </c>
      <c r="O41" s="60" t="s">
        <v>100</v>
      </c>
      <c r="P41" s="60" t="s">
        <v>100</v>
      </c>
      <c r="Q41" s="60" t="s">
        <v>100</v>
      </c>
      <c r="R41" s="60" t="s">
        <v>100</v>
      </c>
      <c r="S41" s="60" t="s">
        <v>100</v>
      </c>
      <c r="T41" s="60" t="s">
        <v>100</v>
      </c>
      <c r="U41" s="60" t="s">
        <v>100</v>
      </c>
      <c r="V41" s="60" t="s">
        <v>100</v>
      </c>
      <c r="W41" s="60" t="s">
        <v>100</v>
      </c>
      <c r="X41" s="60" t="s">
        <v>100</v>
      </c>
      <c r="Y41" s="60" t="s">
        <v>100</v>
      </c>
      <c r="Z41" s="60" t="s">
        <v>100</v>
      </c>
      <c r="AA41" s="60" t="s">
        <v>100</v>
      </c>
      <c r="AB41" s="60" t="s">
        <v>100</v>
      </c>
      <c r="AC41" s="60" t="s">
        <v>100</v>
      </c>
      <c r="AD41" s="60" t="s">
        <v>100</v>
      </c>
      <c r="AE41" s="60" t="s">
        <v>100</v>
      </c>
      <c r="AF41" s="60" t="s">
        <v>100</v>
      </c>
      <c r="AG41" s="60" t="s">
        <v>100</v>
      </c>
      <c r="AH41" s="60" t="s">
        <v>100</v>
      </c>
      <c r="AI41" s="60" t="s">
        <v>100</v>
      </c>
      <c r="AJ41" s="60" t="s">
        <v>100</v>
      </c>
      <c r="AK41" s="60" t="s">
        <v>100</v>
      </c>
      <c r="AL41" s="60" t="s">
        <v>100</v>
      </c>
      <c r="AM41" s="60" t="s">
        <v>100</v>
      </c>
      <c r="AN41" s="60" t="s">
        <v>100</v>
      </c>
      <c r="AO41" s="60" t="s">
        <v>100</v>
      </c>
      <c r="AP41" s="60" t="s">
        <v>100</v>
      </c>
      <c r="AQ41" s="60" t="s">
        <v>100</v>
      </c>
      <c r="AR41" s="60" t="s">
        <v>100</v>
      </c>
      <c r="AS41" s="60" t="s">
        <v>100</v>
      </c>
      <c r="AT41" s="60" t="s">
        <v>100</v>
      </c>
      <c r="AU41" s="60">
        <v>1.63</v>
      </c>
      <c r="AV41" s="60">
        <v>0.07</v>
      </c>
      <c r="AW41" s="60">
        <v>0.39</v>
      </c>
      <c r="AX41" s="60">
        <v>7.52</v>
      </c>
      <c r="AY41" s="60">
        <v>4.07</v>
      </c>
      <c r="AZ41" s="60">
        <v>8.45</v>
      </c>
    </row>
    <row r="42" spans="1:52" ht="15">
      <c r="A42" s="59" t="s">
        <v>129</v>
      </c>
      <c r="B42" s="58" t="s">
        <v>95</v>
      </c>
      <c r="C42" s="61" t="s">
        <v>100</v>
      </c>
      <c r="D42" s="61" t="s">
        <v>100</v>
      </c>
      <c r="E42" s="61" t="s">
        <v>100</v>
      </c>
      <c r="F42" s="61" t="s">
        <v>100</v>
      </c>
      <c r="G42" s="61" t="s">
        <v>100</v>
      </c>
      <c r="H42" s="61" t="s">
        <v>100</v>
      </c>
      <c r="I42" s="61" t="s">
        <v>100</v>
      </c>
      <c r="J42" s="61" t="s">
        <v>100</v>
      </c>
      <c r="K42" s="61" t="s">
        <v>100</v>
      </c>
      <c r="L42" s="61" t="s">
        <v>100</v>
      </c>
      <c r="M42" s="61" t="s">
        <v>100</v>
      </c>
      <c r="N42" s="61" t="s">
        <v>100</v>
      </c>
      <c r="O42" s="61" t="s">
        <v>100</v>
      </c>
      <c r="P42" s="61" t="s">
        <v>100</v>
      </c>
      <c r="Q42" s="61" t="s">
        <v>100</v>
      </c>
      <c r="R42" s="61" t="s">
        <v>100</v>
      </c>
      <c r="S42" s="61" t="s">
        <v>100</v>
      </c>
      <c r="T42" s="61" t="s">
        <v>100</v>
      </c>
      <c r="U42" s="61" t="s">
        <v>100</v>
      </c>
      <c r="V42" s="61" t="s">
        <v>100</v>
      </c>
      <c r="W42" s="61" t="s">
        <v>100</v>
      </c>
      <c r="X42" s="61" t="s">
        <v>100</v>
      </c>
      <c r="Y42" s="61" t="s">
        <v>100</v>
      </c>
      <c r="Z42" s="61" t="s">
        <v>100</v>
      </c>
      <c r="AA42" s="61" t="s">
        <v>100</v>
      </c>
      <c r="AB42" s="61" t="s">
        <v>100</v>
      </c>
      <c r="AC42" s="61" t="s">
        <v>100</v>
      </c>
      <c r="AD42" s="61" t="s">
        <v>100</v>
      </c>
      <c r="AE42" s="61" t="s">
        <v>100</v>
      </c>
      <c r="AF42" s="61" t="s">
        <v>100</v>
      </c>
      <c r="AG42" s="61" t="s">
        <v>100</v>
      </c>
      <c r="AH42" s="61" t="s">
        <v>100</v>
      </c>
      <c r="AI42" s="61" t="s">
        <v>100</v>
      </c>
      <c r="AJ42" s="61" t="s">
        <v>100</v>
      </c>
      <c r="AK42" s="61" t="s">
        <v>100</v>
      </c>
      <c r="AL42" s="61" t="s">
        <v>100</v>
      </c>
      <c r="AM42" s="61" t="s">
        <v>100</v>
      </c>
      <c r="AN42" s="61" t="s">
        <v>100</v>
      </c>
      <c r="AO42" s="61" t="s">
        <v>100</v>
      </c>
      <c r="AP42" s="61" t="s">
        <v>100</v>
      </c>
      <c r="AQ42" s="61" t="s">
        <v>100</v>
      </c>
      <c r="AR42" s="61" t="s">
        <v>100</v>
      </c>
      <c r="AS42" s="61" t="s">
        <v>100</v>
      </c>
      <c r="AT42" s="61" t="s">
        <v>100</v>
      </c>
      <c r="AU42" s="61" t="s">
        <v>100</v>
      </c>
      <c r="AV42" s="61">
        <v>2.91</v>
      </c>
      <c r="AW42" s="61">
        <v>4.42</v>
      </c>
      <c r="AX42" s="61">
        <v>4.59</v>
      </c>
      <c r="AY42" s="61">
        <v>2.68</v>
      </c>
      <c r="AZ42" s="61">
        <v>1.43</v>
      </c>
    </row>
    <row r="43" spans="1:52" ht="15">
      <c r="A43" s="59" t="s">
        <v>130</v>
      </c>
      <c r="B43" s="58" t="s">
        <v>95</v>
      </c>
      <c r="C43" s="60" t="s">
        <v>100</v>
      </c>
      <c r="D43" s="60" t="s">
        <v>100</v>
      </c>
      <c r="E43" s="60" t="s">
        <v>100</v>
      </c>
      <c r="F43" s="60" t="s">
        <v>100</v>
      </c>
      <c r="G43" s="60" t="s">
        <v>100</v>
      </c>
      <c r="H43" s="60" t="s">
        <v>100</v>
      </c>
      <c r="I43" s="60" t="s">
        <v>100</v>
      </c>
      <c r="J43" s="60" t="s">
        <v>100</v>
      </c>
      <c r="K43" s="60" t="s">
        <v>100</v>
      </c>
      <c r="L43" s="60" t="s">
        <v>100</v>
      </c>
      <c r="M43" s="60" t="s">
        <v>100</v>
      </c>
      <c r="N43" s="60" t="s">
        <v>100</v>
      </c>
      <c r="O43" s="60" t="s">
        <v>100</v>
      </c>
      <c r="P43" s="60" t="s">
        <v>100</v>
      </c>
      <c r="Q43" s="60" t="s">
        <v>100</v>
      </c>
      <c r="R43" s="60" t="s">
        <v>100</v>
      </c>
      <c r="S43" s="60" t="s">
        <v>100</v>
      </c>
      <c r="T43" s="60" t="s">
        <v>100</v>
      </c>
      <c r="U43" s="60" t="s">
        <v>100</v>
      </c>
      <c r="V43" s="60" t="s">
        <v>100</v>
      </c>
      <c r="W43" s="60" t="s">
        <v>100</v>
      </c>
      <c r="X43" s="60" t="s">
        <v>100</v>
      </c>
      <c r="Y43" s="60" t="s">
        <v>100</v>
      </c>
      <c r="Z43" s="60" t="s">
        <v>100</v>
      </c>
      <c r="AA43" s="60" t="s">
        <v>100</v>
      </c>
      <c r="AB43" s="60" t="s">
        <v>100</v>
      </c>
      <c r="AC43" s="60" t="s">
        <v>100</v>
      </c>
      <c r="AD43" s="60" t="s">
        <v>100</v>
      </c>
      <c r="AE43" s="60" t="s">
        <v>100</v>
      </c>
      <c r="AF43" s="60" t="s">
        <v>100</v>
      </c>
      <c r="AG43" s="60" t="s">
        <v>100</v>
      </c>
      <c r="AH43" s="60" t="s">
        <v>100</v>
      </c>
      <c r="AI43" s="60" t="s">
        <v>100</v>
      </c>
      <c r="AJ43" s="60" t="s">
        <v>100</v>
      </c>
      <c r="AK43" s="60" t="s">
        <v>100</v>
      </c>
      <c r="AL43" s="60" t="s">
        <v>100</v>
      </c>
      <c r="AM43" s="60" t="s">
        <v>100</v>
      </c>
      <c r="AN43" s="60" t="s">
        <v>100</v>
      </c>
      <c r="AO43" s="60">
        <v>0.1</v>
      </c>
      <c r="AP43" s="60">
        <v>0.01</v>
      </c>
      <c r="AQ43" s="60" t="s">
        <v>100</v>
      </c>
      <c r="AR43" s="60">
        <v>0.1</v>
      </c>
      <c r="AS43" s="60">
        <v>0.01</v>
      </c>
      <c r="AT43" s="60" t="s">
        <v>100</v>
      </c>
      <c r="AU43" s="60" t="s">
        <v>100</v>
      </c>
      <c r="AV43" s="60" t="s">
        <v>100</v>
      </c>
      <c r="AW43" s="60" t="s">
        <v>100</v>
      </c>
      <c r="AX43" s="60" t="s">
        <v>100</v>
      </c>
      <c r="AY43" s="60" t="s">
        <v>100</v>
      </c>
      <c r="AZ43" s="60" t="s">
        <v>100</v>
      </c>
    </row>
    <row r="44" spans="1:52" ht="15">
      <c r="A44" s="59" t="s">
        <v>31</v>
      </c>
      <c r="B44" s="58" t="s">
        <v>95</v>
      </c>
      <c r="C44" s="61" t="s">
        <v>100</v>
      </c>
      <c r="D44" s="61" t="s">
        <v>100</v>
      </c>
      <c r="E44" s="61" t="s">
        <v>100</v>
      </c>
      <c r="F44" s="61" t="s">
        <v>100</v>
      </c>
      <c r="G44" s="61" t="s">
        <v>100</v>
      </c>
      <c r="H44" s="61" t="s">
        <v>100</v>
      </c>
      <c r="I44" s="61" t="s">
        <v>100</v>
      </c>
      <c r="J44" s="61" t="s">
        <v>100</v>
      </c>
      <c r="K44" s="61" t="s">
        <v>100</v>
      </c>
      <c r="L44" s="61" t="s">
        <v>100</v>
      </c>
      <c r="M44" s="61" t="s">
        <v>100</v>
      </c>
      <c r="N44" s="61" t="s">
        <v>100</v>
      </c>
      <c r="O44" s="61" t="s">
        <v>100</v>
      </c>
      <c r="P44" s="61" t="s">
        <v>100</v>
      </c>
      <c r="Q44" s="61" t="s">
        <v>100</v>
      </c>
      <c r="R44" s="61" t="s">
        <v>100</v>
      </c>
      <c r="S44" s="61" t="s">
        <v>100</v>
      </c>
      <c r="T44" s="61" t="s">
        <v>100</v>
      </c>
      <c r="U44" s="61" t="s">
        <v>100</v>
      </c>
      <c r="V44" s="61" t="s">
        <v>100</v>
      </c>
      <c r="W44" s="61" t="s">
        <v>100</v>
      </c>
      <c r="X44" s="61" t="s">
        <v>100</v>
      </c>
      <c r="Y44" s="61" t="s">
        <v>100</v>
      </c>
      <c r="Z44" s="61" t="s">
        <v>100</v>
      </c>
      <c r="AA44" s="61" t="s">
        <v>100</v>
      </c>
      <c r="AB44" s="61" t="s">
        <v>100</v>
      </c>
      <c r="AC44" s="61" t="s">
        <v>100</v>
      </c>
      <c r="AD44" s="61" t="s">
        <v>100</v>
      </c>
      <c r="AE44" s="61" t="s">
        <v>100</v>
      </c>
      <c r="AF44" s="61" t="s">
        <v>100</v>
      </c>
      <c r="AG44" s="61" t="s">
        <v>100</v>
      </c>
      <c r="AH44" s="61" t="s">
        <v>100</v>
      </c>
      <c r="AI44" s="61" t="s">
        <v>100</v>
      </c>
      <c r="AJ44" s="61" t="s">
        <v>100</v>
      </c>
      <c r="AK44" s="61" t="s">
        <v>100</v>
      </c>
      <c r="AL44" s="61" t="s">
        <v>100</v>
      </c>
      <c r="AM44" s="61" t="s">
        <v>100</v>
      </c>
      <c r="AN44" s="61" t="s">
        <v>100</v>
      </c>
      <c r="AO44" s="61">
        <v>0.03</v>
      </c>
      <c r="AP44" s="61">
        <v>0.06</v>
      </c>
      <c r="AQ44" s="61">
        <v>0.02</v>
      </c>
      <c r="AR44" s="61">
        <v>0.1</v>
      </c>
      <c r="AS44" s="61">
        <v>0.3</v>
      </c>
      <c r="AT44" s="61">
        <v>0.11</v>
      </c>
      <c r="AU44" s="61">
        <v>0.21</v>
      </c>
      <c r="AV44" s="61">
        <v>0.33</v>
      </c>
      <c r="AW44" s="61">
        <v>0.55</v>
      </c>
      <c r="AX44" s="61">
        <v>1.81</v>
      </c>
      <c r="AY44" s="61">
        <v>1.89</v>
      </c>
      <c r="AZ44" s="61">
        <v>6.34</v>
      </c>
    </row>
    <row r="45" spans="1:52" ht="15">
      <c r="A45" s="59" t="s">
        <v>131</v>
      </c>
      <c r="B45" s="58" t="s">
        <v>95</v>
      </c>
      <c r="C45" s="60" t="s">
        <v>100</v>
      </c>
      <c r="D45" s="60" t="s">
        <v>100</v>
      </c>
      <c r="E45" s="60" t="s">
        <v>100</v>
      </c>
      <c r="F45" s="60" t="s">
        <v>100</v>
      </c>
      <c r="G45" s="60" t="s">
        <v>100</v>
      </c>
      <c r="H45" s="60" t="s">
        <v>100</v>
      </c>
      <c r="I45" s="60" t="s">
        <v>100</v>
      </c>
      <c r="J45" s="60" t="s">
        <v>100</v>
      </c>
      <c r="K45" s="60" t="s">
        <v>100</v>
      </c>
      <c r="L45" s="60" t="s">
        <v>100</v>
      </c>
      <c r="M45" s="60" t="s">
        <v>100</v>
      </c>
      <c r="N45" s="60" t="s">
        <v>100</v>
      </c>
      <c r="O45" s="60" t="s">
        <v>100</v>
      </c>
      <c r="P45" s="60" t="s">
        <v>100</v>
      </c>
      <c r="Q45" s="60" t="s">
        <v>100</v>
      </c>
      <c r="R45" s="60" t="s">
        <v>100</v>
      </c>
      <c r="S45" s="60" t="s">
        <v>100</v>
      </c>
      <c r="T45" s="60" t="s">
        <v>100</v>
      </c>
      <c r="U45" s="60" t="s">
        <v>100</v>
      </c>
      <c r="V45" s="60" t="s">
        <v>100</v>
      </c>
      <c r="W45" s="60" t="s">
        <v>100</v>
      </c>
      <c r="X45" s="60" t="s">
        <v>100</v>
      </c>
      <c r="Y45" s="60" t="s">
        <v>100</v>
      </c>
      <c r="Z45" s="60" t="s">
        <v>100</v>
      </c>
      <c r="AA45" s="60" t="s">
        <v>100</v>
      </c>
      <c r="AB45" s="60" t="s">
        <v>100</v>
      </c>
      <c r="AC45" s="60" t="s">
        <v>100</v>
      </c>
      <c r="AD45" s="60" t="s">
        <v>100</v>
      </c>
      <c r="AE45" s="60" t="s">
        <v>100</v>
      </c>
      <c r="AF45" s="60" t="s">
        <v>100</v>
      </c>
      <c r="AG45" s="60" t="s">
        <v>100</v>
      </c>
      <c r="AH45" s="60" t="s">
        <v>100</v>
      </c>
      <c r="AI45" s="60" t="s">
        <v>100</v>
      </c>
      <c r="AJ45" s="60" t="s">
        <v>100</v>
      </c>
      <c r="AK45" s="60" t="s">
        <v>100</v>
      </c>
      <c r="AL45" s="60" t="s">
        <v>100</v>
      </c>
      <c r="AM45" s="60" t="s">
        <v>100</v>
      </c>
      <c r="AN45" s="60" t="s">
        <v>100</v>
      </c>
      <c r="AO45" s="60" t="s">
        <v>100</v>
      </c>
      <c r="AP45" s="60" t="s">
        <v>100</v>
      </c>
      <c r="AQ45" s="60" t="s">
        <v>100</v>
      </c>
      <c r="AR45" s="60" t="s">
        <v>100</v>
      </c>
      <c r="AS45" s="60" t="s">
        <v>100</v>
      </c>
      <c r="AT45" s="60">
        <v>0.18</v>
      </c>
      <c r="AU45" s="60">
        <v>0.38</v>
      </c>
      <c r="AV45" s="60">
        <v>4.41</v>
      </c>
      <c r="AW45" s="60">
        <v>1.54</v>
      </c>
      <c r="AX45" s="60">
        <v>1.33</v>
      </c>
      <c r="AY45" s="60">
        <v>0.26</v>
      </c>
      <c r="AZ45" s="60">
        <v>0.52</v>
      </c>
    </row>
    <row r="46" spans="1:52" ht="15">
      <c r="A46" s="59" t="s">
        <v>132</v>
      </c>
      <c r="B46" s="58" t="s">
        <v>95</v>
      </c>
      <c r="C46" s="61" t="s">
        <v>100</v>
      </c>
      <c r="D46" s="61" t="s">
        <v>100</v>
      </c>
      <c r="E46" s="61" t="s">
        <v>100</v>
      </c>
      <c r="F46" s="61" t="s">
        <v>100</v>
      </c>
      <c r="G46" s="61" t="s">
        <v>100</v>
      </c>
      <c r="H46" s="61" t="s">
        <v>100</v>
      </c>
      <c r="I46" s="61" t="s">
        <v>100</v>
      </c>
      <c r="J46" s="61" t="s">
        <v>100</v>
      </c>
      <c r="K46" s="61" t="s">
        <v>100</v>
      </c>
      <c r="L46" s="61" t="s">
        <v>100</v>
      </c>
      <c r="M46" s="61" t="s">
        <v>100</v>
      </c>
      <c r="N46" s="61" t="s">
        <v>100</v>
      </c>
      <c r="O46" s="61" t="s">
        <v>100</v>
      </c>
      <c r="P46" s="61" t="s">
        <v>100</v>
      </c>
      <c r="Q46" s="61" t="s">
        <v>100</v>
      </c>
      <c r="R46" s="61" t="s">
        <v>100</v>
      </c>
      <c r="S46" s="61" t="s">
        <v>100</v>
      </c>
      <c r="T46" s="61" t="s">
        <v>100</v>
      </c>
      <c r="U46" s="61" t="s">
        <v>100</v>
      </c>
      <c r="V46" s="61" t="s">
        <v>100</v>
      </c>
      <c r="W46" s="61" t="s">
        <v>100</v>
      </c>
      <c r="X46" s="61" t="s">
        <v>100</v>
      </c>
      <c r="Y46" s="61" t="s">
        <v>100</v>
      </c>
      <c r="Z46" s="61" t="s">
        <v>100</v>
      </c>
      <c r="AA46" s="61" t="s">
        <v>100</v>
      </c>
      <c r="AB46" s="61" t="s">
        <v>100</v>
      </c>
      <c r="AC46" s="61" t="s">
        <v>100</v>
      </c>
      <c r="AD46" s="61" t="s">
        <v>100</v>
      </c>
      <c r="AE46" s="61" t="s">
        <v>100</v>
      </c>
      <c r="AF46" s="61" t="s">
        <v>100</v>
      </c>
      <c r="AG46" s="61" t="s">
        <v>100</v>
      </c>
      <c r="AH46" s="61" t="s">
        <v>100</v>
      </c>
      <c r="AI46" s="61" t="s">
        <v>100</v>
      </c>
      <c r="AJ46" s="61" t="s">
        <v>100</v>
      </c>
      <c r="AK46" s="61" t="s">
        <v>100</v>
      </c>
      <c r="AL46" s="61" t="s">
        <v>100</v>
      </c>
      <c r="AM46" s="61" t="s">
        <v>100</v>
      </c>
      <c r="AN46" s="61" t="s">
        <v>100</v>
      </c>
      <c r="AO46" s="61" t="s">
        <v>100</v>
      </c>
      <c r="AP46" s="61" t="s">
        <v>100</v>
      </c>
      <c r="AQ46" s="61" t="s">
        <v>100</v>
      </c>
      <c r="AR46" s="61" t="s">
        <v>100</v>
      </c>
      <c r="AS46" s="61" t="s">
        <v>100</v>
      </c>
      <c r="AT46" s="61" t="s">
        <v>100</v>
      </c>
      <c r="AU46" s="61" t="s">
        <v>100</v>
      </c>
      <c r="AV46" s="61" t="s">
        <v>100</v>
      </c>
      <c r="AW46" s="61" t="s">
        <v>100</v>
      </c>
      <c r="AX46" s="61" t="s">
        <v>100</v>
      </c>
      <c r="AY46" s="61">
        <v>0.15</v>
      </c>
      <c r="AZ46" s="61">
        <v>0.14</v>
      </c>
    </row>
    <row r="47" spans="1:52" ht="15">
      <c r="A47" s="59" t="s">
        <v>133</v>
      </c>
      <c r="B47" s="58" t="s">
        <v>95</v>
      </c>
      <c r="C47" s="60" t="s">
        <v>100</v>
      </c>
      <c r="D47" s="60" t="s">
        <v>100</v>
      </c>
      <c r="E47" s="60" t="s">
        <v>100</v>
      </c>
      <c r="F47" s="60" t="s">
        <v>100</v>
      </c>
      <c r="G47" s="60" t="s">
        <v>100</v>
      </c>
      <c r="H47" s="60" t="s">
        <v>100</v>
      </c>
      <c r="I47" s="60" t="s">
        <v>100</v>
      </c>
      <c r="J47" s="60" t="s">
        <v>100</v>
      </c>
      <c r="K47" s="60" t="s">
        <v>100</v>
      </c>
      <c r="L47" s="60" t="s">
        <v>100</v>
      </c>
      <c r="M47" s="60" t="s">
        <v>100</v>
      </c>
      <c r="N47" s="60" t="s">
        <v>100</v>
      </c>
      <c r="O47" s="60" t="s">
        <v>100</v>
      </c>
      <c r="P47" s="60" t="s">
        <v>100</v>
      </c>
      <c r="Q47" s="60" t="s">
        <v>100</v>
      </c>
      <c r="R47" s="60" t="s">
        <v>100</v>
      </c>
      <c r="S47" s="60" t="s">
        <v>100</v>
      </c>
      <c r="T47" s="60" t="s">
        <v>100</v>
      </c>
      <c r="U47" s="60" t="s">
        <v>100</v>
      </c>
      <c r="V47" s="60" t="s">
        <v>100</v>
      </c>
      <c r="W47" s="60" t="s">
        <v>100</v>
      </c>
      <c r="X47" s="60" t="s">
        <v>100</v>
      </c>
      <c r="Y47" s="60" t="s">
        <v>100</v>
      </c>
      <c r="Z47" s="60" t="s">
        <v>100</v>
      </c>
      <c r="AA47" s="60" t="s">
        <v>100</v>
      </c>
      <c r="AB47" s="60" t="s">
        <v>100</v>
      </c>
      <c r="AC47" s="60" t="s">
        <v>100</v>
      </c>
      <c r="AD47" s="60" t="s">
        <v>100</v>
      </c>
      <c r="AE47" s="60" t="s">
        <v>100</v>
      </c>
      <c r="AF47" s="60" t="s">
        <v>100</v>
      </c>
      <c r="AG47" s="60" t="s">
        <v>100</v>
      </c>
      <c r="AH47" s="60" t="s">
        <v>100</v>
      </c>
      <c r="AI47" s="60" t="s">
        <v>100</v>
      </c>
      <c r="AJ47" s="60" t="s">
        <v>100</v>
      </c>
      <c r="AK47" s="60" t="s">
        <v>100</v>
      </c>
      <c r="AL47" s="60" t="s">
        <v>100</v>
      </c>
      <c r="AM47" s="60" t="s">
        <v>100</v>
      </c>
      <c r="AN47" s="60" t="s">
        <v>100</v>
      </c>
      <c r="AO47" s="60" t="s">
        <v>100</v>
      </c>
      <c r="AP47" s="60" t="s">
        <v>100</v>
      </c>
      <c r="AQ47" s="60" t="s">
        <v>100</v>
      </c>
      <c r="AR47" s="60" t="s">
        <v>100</v>
      </c>
      <c r="AS47" s="60" t="s">
        <v>100</v>
      </c>
      <c r="AT47" s="60" t="s">
        <v>100</v>
      </c>
      <c r="AU47" s="60" t="s">
        <v>100</v>
      </c>
      <c r="AV47" s="60" t="s">
        <v>100</v>
      </c>
      <c r="AW47" s="60">
        <v>0.05</v>
      </c>
      <c r="AX47" s="60">
        <v>0.18</v>
      </c>
      <c r="AY47" s="60">
        <v>0.18</v>
      </c>
      <c r="AZ47" s="60">
        <v>0.09</v>
      </c>
    </row>
    <row r="48" spans="1:52" ht="15">
      <c r="A48" s="59" t="s">
        <v>33</v>
      </c>
      <c r="B48" s="58" t="s">
        <v>95</v>
      </c>
      <c r="C48" s="61" t="s">
        <v>100</v>
      </c>
      <c r="D48" s="61" t="s">
        <v>100</v>
      </c>
      <c r="E48" s="61" t="s">
        <v>100</v>
      </c>
      <c r="F48" s="61" t="s">
        <v>100</v>
      </c>
      <c r="G48" s="61" t="s">
        <v>100</v>
      </c>
      <c r="H48" s="61" t="s">
        <v>100</v>
      </c>
      <c r="I48" s="61" t="s">
        <v>100</v>
      </c>
      <c r="J48" s="61" t="s">
        <v>100</v>
      </c>
      <c r="K48" s="61" t="s">
        <v>100</v>
      </c>
      <c r="L48" s="61" t="s">
        <v>100</v>
      </c>
      <c r="M48" s="61" t="s">
        <v>100</v>
      </c>
      <c r="N48" s="61" t="s">
        <v>100</v>
      </c>
      <c r="O48" s="61" t="s">
        <v>100</v>
      </c>
      <c r="P48" s="61" t="s">
        <v>100</v>
      </c>
      <c r="Q48" s="61" t="s">
        <v>100</v>
      </c>
      <c r="R48" s="61" t="s">
        <v>100</v>
      </c>
      <c r="S48" s="61" t="s">
        <v>100</v>
      </c>
      <c r="T48" s="61" t="s">
        <v>100</v>
      </c>
      <c r="U48" s="61" t="s">
        <v>100</v>
      </c>
      <c r="V48" s="61" t="s">
        <v>100</v>
      </c>
      <c r="W48" s="61" t="s">
        <v>100</v>
      </c>
      <c r="X48" s="61" t="s">
        <v>100</v>
      </c>
      <c r="Y48" s="61" t="s">
        <v>100</v>
      </c>
      <c r="Z48" s="61" t="s">
        <v>100</v>
      </c>
      <c r="AA48" s="61" t="s">
        <v>100</v>
      </c>
      <c r="AB48" s="61" t="s">
        <v>100</v>
      </c>
      <c r="AC48" s="61" t="s">
        <v>100</v>
      </c>
      <c r="AD48" s="61" t="s">
        <v>100</v>
      </c>
      <c r="AE48" s="61" t="s">
        <v>100</v>
      </c>
      <c r="AF48" s="61" t="s">
        <v>100</v>
      </c>
      <c r="AG48" s="61" t="s">
        <v>100</v>
      </c>
      <c r="AH48" s="61" t="s">
        <v>100</v>
      </c>
      <c r="AI48" s="61" t="s">
        <v>100</v>
      </c>
      <c r="AJ48" s="61" t="s">
        <v>100</v>
      </c>
      <c r="AK48" s="61">
        <v>0.03</v>
      </c>
      <c r="AL48" s="61" t="s">
        <v>100</v>
      </c>
      <c r="AM48" s="61" t="s">
        <v>100</v>
      </c>
      <c r="AN48" s="61" t="s">
        <v>100</v>
      </c>
      <c r="AO48" s="61">
        <v>0.07</v>
      </c>
      <c r="AP48" s="61">
        <v>0.06</v>
      </c>
      <c r="AQ48" s="61">
        <v>0.07</v>
      </c>
      <c r="AR48" s="61">
        <v>0.43</v>
      </c>
      <c r="AS48" s="61">
        <v>0.38</v>
      </c>
      <c r="AT48" s="61">
        <v>0.7</v>
      </c>
      <c r="AU48" s="61">
        <v>8.74</v>
      </c>
      <c r="AV48" s="61">
        <v>28.56</v>
      </c>
      <c r="AW48" s="61">
        <v>57.65</v>
      </c>
      <c r="AX48" s="61">
        <v>71.61</v>
      </c>
      <c r="AY48" s="61">
        <v>141.96</v>
      </c>
      <c r="AZ48" s="61">
        <v>96.46</v>
      </c>
    </row>
    <row r="49" spans="1:52" ht="15">
      <c r="A49" s="59" t="s">
        <v>134</v>
      </c>
      <c r="B49" s="58" t="s">
        <v>95</v>
      </c>
      <c r="C49" s="60" t="s">
        <v>100</v>
      </c>
      <c r="D49" s="60" t="s">
        <v>100</v>
      </c>
      <c r="E49" s="60" t="s">
        <v>100</v>
      </c>
      <c r="F49" s="60" t="s">
        <v>100</v>
      </c>
      <c r="G49" s="60" t="s">
        <v>100</v>
      </c>
      <c r="H49" s="60" t="s">
        <v>100</v>
      </c>
      <c r="I49" s="60" t="s">
        <v>100</v>
      </c>
      <c r="J49" s="60" t="s">
        <v>100</v>
      </c>
      <c r="K49" s="60" t="s">
        <v>100</v>
      </c>
      <c r="L49" s="60" t="s">
        <v>100</v>
      </c>
      <c r="M49" s="60" t="s">
        <v>100</v>
      </c>
      <c r="N49" s="60" t="s">
        <v>100</v>
      </c>
      <c r="O49" s="60" t="s">
        <v>100</v>
      </c>
      <c r="P49" s="60" t="s">
        <v>100</v>
      </c>
      <c r="Q49" s="60" t="s">
        <v>100</v>
      </c>
      <c r="R49" s="60" t="s">
        <v>100</v>
      </c>
      <c r="S49" s="60" t="s">
        <v>100</v>
      </c>
      <c r="T49" s="60" t="s">
        <v>100</v>
      </c>
      <c r="U49" s="60" t="s">
        <v>100</v>
      </c>
      <c r="V49" s="60">
        <v>1.65</v>
      </c>
      <c r="W49" s="60">
        <v>0.91</v>
      </c>
      <c r="X49" s="60">
        <v>1.91</v>
      </c>
      <c r="Y49" s="60">
        <v>0.04</v>
      </c>
      <c r="Z49" s="60">
        <v>-0.54</v>
      </c>
      <c r="AA49" s="60">
        <v>-0.82</v>
      </c>
      <c r="AB49" s="60">
        <v>-0.27</v>
      </c>
      <c r="AC49" s="60">
        <v>-0.82</v>
      </c>
      <c r="AD49" s="60">
        <v>-0.54</v>
      </c>
      <c r="AE49" s="60">
        <v>-0.54</v>
      </c>
      <c r="AF49" s="60">
        <v>-0.54</v>
      </c>
      <c r="AG49" s="60">
        <v>-0.49</v>
      </c>
      <c r="AH49" s="60" t="s">
        <v>100</v>
      </c>
      <c r="AI49" s="60" t="s">
        <v>100</v>
      </c>
      <c r="AJ49" s="60" t="s">
        <v>100</v>
      </c>
      <c r="AK49" s="60" t="s">
        <v>100</v>
      </c>
      <c r="AL49" s="60" t="s">
        <v>100</v>
      </c>
      <c r="AM49" s="60" t="s">
        <v>100</v>
      </c>
      <c r="AN49" s="60" t="s">
        <v>100</v>
      </c>
      <c r="AO49" s="60" t="s">
        <v>100</v>
      </c>
      <c r="AP49" s="60" t="s">
        <v>100</v>
      </c>
      <c r="AQ49" s="60" t="s">
        <v>100</v>
      </c>
      <c r="AR49" s="60" t="s">
        <v>100</v>
      </c>
      <c r="AS49" s="60" t="s">
        <v>100</v>
      </c>
      <c r="AT49" s="60" t="s">
        <v>100</v>
      </c>
      <c r="AU49" s="60" t="s">
        <v>100</v>
      </c>
      <c r="AV49" s="60" t="s">
        <v>100</v>
      </c>
      <c r="AW49" s="60" t="s">
        <v>100</v>
      </c>
      <c r="AX49" s="60">
        <v>0.35</v>
      </c>
      <c r="AY49" s="60">
        <v>3.12</v>
      </c>
      <c r="AZ49" s="60">
        <v>46.84</v>
      </c>
    </row>
    <row r="50" spans="1:52" ht="15">
      <c r="A50" s="59" t="s">
        <v>135</v>
      </c>
      <c r="B50" s="58" t="s">
        <v>95</v>
      </c>
      <c r="C50" s="61" t="s">
        <v>100</v>
      </c>
      <c r="D50" s="61" t="s">
        <v>100</v>
      </c>
      <c r="E50" s="61" t="s">
        <v>100</v>
      </c>
      <c r="F50" s="61" t="s">
        <v>100</v>
      </c>
      <c r="G50" s="61" t="s">
        <v>100</v>
      </c>
      <c r="H50" s="61" t="s">
        <v>100</v>
      </c>
      <c r="I50" s="61" t="s">
        <v>100</v>
      </c>
      <c r="J50" s="61" t="s">
        <v>100</v>
      </c>
      <c r="K50" s="61" t="s">
        <v>100</v>
      </c>
      <c r="L50" s="61" t="s">
        <v>100</v>
      </c>
      <c r="M50" s="61" t="s">
        <v>100</v>
      </c>
      <c r="N50" s="61">
        <v>-1.95</v>
      </c>
      <c r="O50" s="61" t="s">
        <v>100</v>
      </c>
      <c r="P50" s="61" t="s">
        <v>100</v>
      </c>
      <c r="Q50" s="61">
        <v>18.57</v>
      </c>
      <c r="R50" s="61">
        <v>18.53</v>
      </c>
      <c r="S50" s="61">
        <v>10.47</v>
      </c>
      <c r="T50" s="61">
        <v>8.62</v>
      </c>
      <c r="U50" s="61">
        <v>8.51</v>
      </c>
      <c r="V50" s="61">
        <v>8.33</v>
      </c>
      <c r="W50" s="61">
        <v>1.47</v>
      </c>
      <c r="X50" s="61">
        <v>20.5</v>
      </c>
      <c r="Y50" s="61">
        <v>0.44</v>
      </c>
      <c r="Z50" s="61">
        <v>-2.11</v>
      </c>
      <c r="AA50" s="61">
        <v>-0.7</v>
      </c>
      <c r="AB50" s="61">
        <v>-1.48</v>
      </c>
      <c r="AC50" s="61">
        <v>-3.34</v>
      </c>
      <c r="AD50" s="61">
        <v>-1.26</v>
      </c>
      <c r="AE50" s="61">
        <v>-0.63</v>
      </c>
      <c r="AF50" s="61">
        <v>-1.68</v>
      </c>
      <c r="AG50" s="61">
        <v>-1.38</v>
      </c>
      <c r="AH50" s="61">
        <v>375.33</v>
      </c>
      <c r="AI50" s="61">
        <v>3.49</v>
      </c>
      <c r="AJ50" s="61">
        <v>3.39</v>
      </c>
      <c r="AK50" s="61">
        <v>6.57</v>
      </c>
      <c r="AL50" s="61">
        <v>0.05</v>
      </c>
      <c r="AM50" s="61" t="s">
        <v>100</v>
      </c>
      <c r="AN50" s="61">
        <v>0.27</v>
      </c>
      <c r="AO50" s="61" t="s">
        <v>100</v>
      </c>
      <c r="AP50" s="61" t="s">
        <v>100</v>
      </c>
      <c r="AQ50" s="61">
        <v>0.5</v>
      </c>
      <c r="AR50" s="61">
        <v>4.15</v>
      </c>
      <c r="AS50" s="61">
        <v>4.97</v>
      </c>
      <c r="AT50" s="61" t="s">
        <v>100</v>
      </c>
      <c r="AU50" s="61">
        <v>13</v>
      </c>
      <c r="AV50" s="61">
        <v>0.23</v>
      </c>
      <c r="AW50" s="61">
        <v>1.68</v>
      </c>
      <c r="AX50" s="61">
        <v>0.78</v>
      </c>
      <c r="AY50" s="61">
        <v>3.12</v>
      </c>
      <c r="AZ50" s="61">
        <v>46.84</v>
      </c>
    </row>
    <row r="51" spans="1:52" ht="15">
      <c r="A51" s="59" t="s">
        <v>136</v>
      </c>
      <c r="B51" s="58" t="s">
        <v>95</v>
      </c>
      <c r="C51" s="60" t="s">
        <v>100</v>
      </c>
      <c r="D51" s="60" t="s">
        <v>100</v>
      </c>
      <c r="E51" s="60" t="s">
        <v>100</v>
      </c>
      <c r="F51" s="60" t="s">
        <v>100</v>
      </c>
      <c r="G51" s="60" t="s">
        <v>100</v>
      </c>
      <c r="H51" s="60" t="s">
        <v>100</v>
      </c>
      <c r="I51" s="60" t="s">
        <v>100</v>
      </c>
      <c r="J51" s="60" t="s">
        <v>100</v>
      </c>
      <c r="K51" s="60" t="s">
        <v>100</v>
      </c>
      <c r="L51" s="60" t="s">
        <v>100</v>
      </c>
      <c r="M51" s="60" t="s">
        <v>100</v>
      </c>
      <c r="N51" s="60" t="s">
        <v>100</v>
      </c>
      <c r="O51" s="60" t="s">
        <v>100</v>
      </c>
      <c r="P51" s="60" t="s">
        <v>100</v>
      </c>
      <c r="Q51" s="60" t="s">
        <v>100</v>
      </c>
      <c r="R51" s="60" t="s">
        <v>100</v>
      </c>
      <c r="S51" s="60" t="s">
        <v>100</v>
      </c>
      <c r="T51" s="60" t="s">
        <v>100</v>
      </c>
      <c r="U51" s="60" t="s">
        <v>100</v>
      </c>
      <c r="V51" s="60" t="s">
        <v>100</v>
      </c>
      <c r="W51" s="60" t="s">
        <v>100</v>
      </c>
      <c r="X51" s="60" t="s">
        <v>100</v>
      </c>
      <c r="Y51" s="60" t="s">
        <v>100</v>
      </c>
      <c r="Z51" s="60" t="s">
        <v>100</v>
      </c>
      <c r="AA51" s="60" t="s">
        <v>100</v>
      </c>
      <c r="AB51" s="60" t="s">
        <v>100</v>
      </c>
      <c r="AC51" s="60" t="s">
        <v>100</v>
      </c>
      <c r="AD51" s="60" t="s">
        <v>100</v>
      </c>
      <c r="AE51" s="60" t="s">
        <v>100</v>
      </c>
      <c r="AF51" s="60" t="s">
        <v>100</v>
      </c>
      <c r="AG51" s="60" t="s">
        <v>100</v>
      </c>
      <c r="AH51" s="60" t="s">
        <v>100</v>
      </c>
      <c r="AI51" s="60" t="s">
        <v>100</v>
      </c>
      <c r="AJ51" s="60" t="s">
        <v>100</v>
      </c>
      <c r="AK51" s="60" t="s">
        <v>100</v>
      </c>
      <c r="AL51" s="60" t="s">
        <v>100</v>
      </c>
      <c r="AM51" s="60" t="s">
        <v>100</v>
      </c>
      <c r="AN51" s="60" t="s">
        <v>100</v>
      </c>
      <c r="AO51" s="60">
        <v>0.1</v>
      </c>
      <c r="AP51" s="60">
        <v>0.01</v>
      </c>
      <c r="AQ51" s="60" t="s">
        <v>100</v>
      </c>
      <c r="AR51" s="60">
        <v>0.16</v>
      </c>
      <c r="AS51" s="60">
        <v>0.15</v>
      </c>
      <c r="AT51" s="60">
        <v>0.02</v>
      </c>
      <c r="AU51" s="60">
        <v>0.07</v>
      </c>
      <c r="AV51" s="60">
        <v>0.14</v>
      </c>
      <c r="AW51" s="60">
        <v>5.43</v>
      </c>
      <c r="AX51" s="60">
        <v>19.33</v>
      </c>
      <c r="AY51" s="60">
        <v>10.48</v>
      </c>
      <c r="AZ51" s="60">
        <v>6.42</v>
      </c>
    </row>
    <row r="52" spans="1:52" ht="15">
      <c r="A52" s="59" t="s">
        <v>137</v>
      </c>
      <c r="B52" s="58" t="s">
        <v>95</v>
      </c>
      <c r="C52" s="61" t="s">
        <v>100</v>
      </c>
      <c r="D52" s="61" t="s">
        <v>100</v>
      </c>
      <c r="E52" s="61" t="s">
        <v>100</v>
      </c>
      <c r="F52" s="61" t="s">
        <v>100</v>
      </c>
      <c r="G52" s="61" t="s">
        <v>100</v>
      </c>
      <c r="H52" s="61" t="s">
        <v>100</v>
      </c>
      <c r="I52" s="61" t="s">
        <v>100</v>
      </c>
      <c r="J52" s="61" t="s">
        <v>100</v>
      </c>
      <c r="K52" s="61" t="s">
        <v>100</v>
      </c>
      <c r="L52" s="61" t="s">
        <v>100</v>
      </c>
      <c r="M52" s="61" t="s">
        <v>100</v>
      </c>
      <c r="N52" s="61" t="s">
        <v>100</v>
      </c>
      <c r="O52" s="61" t="s">
        <v>100</v>
      </c>
      <c r="P52" s="61" t="s">
        <v>100</v>
      </c>
      <c r="Q52" s="61" t="s">
        <v>100</v>
      </c>
      <c r="R52" s="61" t="s">
        <v>100</v>
      </c>
      <c r="S52" s="61" t="s">
        <v>100</v>
      </c>
      <c r="T52" s="61" t="s">
        <v>100</v>
      </c>
      <c r="U52" s="61" t="s">
        <v>100</v>
      </c>
      <c r="V52" s="61" t="s">
        <v>100</v>
      </c>
      <c r="W52" s="61" t="s">
        <v>100</v>
      </c>
      <c r="X52" s="61" t="s">
        <v>100</v>
      </c>
      <c r="Y52" s="61" t="s">
        <v>100</v>
      </c>
      <c r="Z52" s="61" t="s">
        <v>100</v>
      </c>
      <c r="AA52" s="61" t="s">
        <v>100</v>
      </c>
      <c r="AB52" s="61" t="s">
        <v>100</v>
      </c>
      <c r="AC52" s="61" t="s">
        <v>100</v>
      </c>
      <c r="AD52" s="61" t="s">
        <v>100</v>
      </c>
      <c r="AE52" s="61" t="s">
        <v>100</v>
      </c>
      <c r="AF52" s="61" t="s">
        <v>100</v>
      </c>
      <c r="AG52" s="61" t="s">
        <v>100</v>
      </c>
      <c r="AH52" s="61" t="s">
        <v>100</v>
      </c>
      <c r="AI52" s="61" t="s">
        <v>100</v>
      </c>
      <c r="AJ52" s="61" t="s">
        <v>100</v>
      </c>
      <c r="AK52" s="61" t="s">
        <v>100</v>
      </c>
      <c r="AL52" s="61" t="s">
        <v>100</v>
      </c>
      <c r="AM52" s="61" t="s">
        <v>100</v>
      </c>
      <c r="AN52" s="61" t="s">
        <v>100</v>
      </c>
      <c r="AO52" s="61" t="s">
        <v>100</v>
      </c>
      <c r="AP52" s="61" t="s">
        <v>100</v>
      </c>
      <c r="AQ52" s="61" t="s">
        <v>100</v>
      </c>
      <c r="AR52" s="61" t="s">
        <v>100</v>
      </c>
      <c r="AS52" s="61" t="s">
        <v>100</v>
      </c>
      <c r="AT52" s="61" t="s">
        <v>100</v>
      </c>
      <c r="AU52" s="61" t="s">
        <v>100</v>
      </c>
      <c r="AV52" s="61" t="s">
        <v>100</v>
      </c>
      <c r="AW52" s="61" t="s">
        <v>100</v>
      </c>
      <c r="AX52" s="61" t="s">
        <v>100</v>
      </c>
      <c r="AY52" s="61" t="s">
        <v>100</v>
      </c>
      <c r="AZ52" s="61" t="s">
        <v>100</v>
      </c>
    </row>
    <row r="53" spans="1:52" ht="15">
      <c r="A53" s="59" t="s">
        <v>138</v>
      </c>
      <c r="B53" s="58" t="s">
        <v>95</v>
      </c>
      <c r="C53" s="60" t="s">
        <v>100</v>
      </c>
      <c r="D53" s="60" t="s">
        <v>100</v>
      </c>
      <c r="E53" s="60" t="s">
        <v>100</v>
      </c>
      <c r="F53" s="60" t="s">
        <v>100</v>
      </c>
      <c r="G53" s="60" t="s">
        <v>100</v>
      </c>
      <c r="H53" s="60" t="s">
        <v>100</v>
      </c>
      <c r="I53" s="60" t="s">
        <v>100</v>
      </c>
      <c r="J53" s="60" t="s">
        <v>100</v>
      </c>
      <c r="K53" s="60" t="s">
        <v>100</v>
      </c>
      <c r="L53" s="60" t="s">
        <v>100</v>
      </c>
      <c r="M53" s="60" t="s">
        <v>100</v>
      </c>
      <c r="N53" s="60" t="s">
        <v>100</v>
      </c>
      <c r="O53" s="60" t="s">
        <v>100</v>
      </c>
      <c r="P53" s="60" t="s">
        <v>100</v>
      </c>
      <c r="Q53" s="60" t="s">
        <v>100</v>
      </c>
      <c r="R53" s="60" t="s">
        <v>100</v>
      </c>
      <c r="S53" s="60" t="s">
        <v>100</v>
      </c>
      <c r="T53" s="60" t="s">
        <v>100</v>
      </c>
      <c r="U53" s="60" t="s">
        <v>100</v>
      </c>
      <c r="V53" s="60" t="s">
        <v>100</v>
      </c>
      <c r="W53" s="60" t="s">
        <v>100</v>
      </c>
      <c r="X53" s="60" t="s">
        <v>100</v>
      </c>
      <c r="Y53" s="60" t="s">
        <v>100</v>
      </c>
      <c r="Z53" s="60" t="s">
        <v>100</v>
      </c>
      <c r="AA53" s="60" t="s">
        <v>100</v>
      </c>
      <c r="AB53" s="60" t="s">
        <v>100</v>
      </c>
      <c r="AC53" s="60" t="s">
        <v>100</v>
      </c>
      <c r="AD53" s="60" t="s">
        <v>100</v>
      </c>
      <c r="AE53" s="60" t="s">
        <v>100</v>
      </c>
      <c r="AF53" s="60" t="s">
        <v>100</v>
      </c>
      <c r="AG53" s="60" t="s">
        <v>100</v>
      </c>
      <c r="AH53" s="60" t="s">
        <v>100</v>
      </c>
      <c r="AI53" s="60" t="s">
        <v>100</v>
      </c>
      <c r="AJ53" s="60" t="s">
        <v>100</v>
      </c>
      <c r="AK53" s="60" t="s">
        <v>100</v>
      </c>
      <c r="AL53" s="60" t="s">
        <v>100</v>
      </c>
      <c r="AM53" s="60" t="s">
        <v>100</v>
      </c>
      <c r="AN53" s="60" t="s">
        <v>100</v>
      </c>
      <c r="AO53" s="60" t="s">
        <v>100</v>
      </c>
      <c r="AP53" s="60" t="s">
        <v>100</v>
      </c>
      <c r="AQ53" s="60" t="s">
        <v>100</v>
      </c>
      <c r="AR53" s="60" t="s">
        <v>100</v>
      </c>
      <c r="AS53" s="60" t="s">
        <v>100</v>
      </c>
      <c r="AT53" s="60" t="s">
        <v>100</v>
      </c>
      <c r="AU53" s="60" t="s">
        <v>100</v>
      </c>
      <c r="AV53" s="60" t="s">
        <v>100</v>
      </c>
      <c r="AW53" s="60" t="s">
        <v>100</v>
      </c>
      <c r="AX53" s="60" t="s">
        <v>100</v>
      </c>
      <c r="AY53" s="60" t="s">
        <v>100</v>
      </c>
      <c r="AZ53" s="60" t="s">
        <v>100</v>
      </c>
    </row>
    <row r="54" spans="1:52" ht="15">
      <c r="A54" s="59" t="s">
        <v>139</v>
      </c>
      <c r="B54" s="58" t="s">
        <v>95</v>
      </c>
      <c r="C54" s="61" t="s">
        <v>100</v>
      </c>
      <c r="D54" s="61" t="s">
        <v>100</v>
      </c>
      <c r="E54" s="61" t="s">
        <v>100</v>
      </c>
      <c r="F54" s="61" t="s">
        <v>100</v>
      </c>
      <c r="G54" s="61" t="s">
        <v>100</v>
      </c>
      <c r="H54" s="61" t="s">
        <v>100</v>
      </c>
      <c r="I54" s="61" t="s">
        <v>100</v>
      </c>
      <c r="J54" s="61" t="s">
        <v>100</v>
      </c>
      <c r="K54" s="61" t="s">
        <v>100</v>
      </c>
      <c r="L54" s="61" t="s">
        <v>100</v>
      </c>
      <c r="M54" s="61" t="s">
        <v>100</v>
      </c>
      <c r="N54" s="61" t="s">
        <v>100</v>
      </c>
      <c r="O54" s="61" t="s">
        <v>100</v>
      </c>
      <c r="P54" s="61" t="s">
        <v>100</v>
      </c>
      <c r="Q54" s="61" t="s">
        <v>100</v>
      </c>
      <c r="R54" s="61" t="s">
        <v>100</v>
      </c>
      <c r="S54" s="61" t="s">
        <v>100</v>
      </c>
      <c r="T54" s="61">
        <v>3.75</v>
      </c>
      <c r="U54" s="61" t="s">
        <v>100</v>
      </c>
      <c r="V54" s="61" t="s">
        <v>100</v>
      </c>
      <c r="W54" s="61" t="s">
        <v>100</v>
      </c>
      <c r="X54" s="61" t="s">
        <v>100</v>
      </c>
      <c r="Y54" s="61">
        <v>-0.19</v>
      </c>
      <c r="Z54" s="61">
        <v>-0.19</v>
      </c>
      <c r="AA54" s="61">
        <v>-0.19</v>
      </c>
      <c r="AB54" s="61" t="s">
        <v>100</v>
      </c>
      <c r="AC54" s="61">
        <v>-0.38</v>
      </c>
      <c r="AD54" s="61">
        <v>-0.18</v>
      </c>
      <c r="AE54" s="61">
        <v>-0.19</v>
      </c>
      <c r="AF54" s="61">
        <v>-0.19</v>
      </c>
      <c r="AG54" s="61">
        <v>0.2</v>
      </c>
      <c r="AH54" s="61">
        <v>0.01</v>
      </c>
      <c r="AI54" s="61">
        <v>-0.05</v>
      </c>
      <c r="AJ54" s="61">
        <v>4.9</v>
      </c>
      <c r="AK54" s="61">
        <v>0.03</v>
      </c>
      <c r="AL54" s="61" t="s">
        <v>100</v>
      </c>
      <c r="AM54" s="61" t="s">
        <v>100</v>
      </c>
      <c r="AN54" s="61" t="s">
        <v>100</v>
      </c>
      <c r="AO54" s="61">
        <v>0.2</v>
      </c>
      <c r="AP54" s="61">
        <v>0.2</v>
      </c>
      <c r="AQ54" s="61" t="s">
        <v>100</v>
      </c>
      <c r="AR54" s="61">
        <v>0.19</v>
      </c>
      <c r="AS54" s="61">
        <v>0.3</v>
      </c>
      <c r="AT54" s="61">
        <v>0.1</v>
      </c>
      <c r="AU54" s="61" t="s">
        <v>100</v>
      </c>
      <c r="AV54" s="61">
        <v>0.02</v>
      </c>
      <c r="AW54" s="61">
        <v>-0.24</v>
      </c>
      <c r="AX54" s="61">
        <v>0.25</v>
      </c>
      <c r="AY54" s="61">
        <v>0.46</v>
      </c>
      <c r="AZ54" s="61">
        <v>7.34</v>
      </c>
    </row>
    <row r="55" spans="1:52" ht="15">
      <c r="A55" s="59" t="s">
        <v>140</v>
      </c>
      <c r="B55" s="58" t="s">
        <v>95</v>
      </c>
      <c r="C55" s="60" t="s">
        <v>100</v>
      </c>
      <c r="D55" s="60" t="s">
        <v>100</v>
      </c>
      <c r="E55" s="60" t="s">
        <v>100</v>
      </c>
      <c r="F55" s="60" t="s">
        <v>100</v>
      </c>
      <c r="G55" s="60" t="s">
        <v>100</v>
      </c>
      <c r="H55" s="60" t="s">
        <v>100</v>
      </c>
      <c r="I55" s="60">
        <v>-0.48</v>
      </c>
      <c r="J55" s="60">
        <v>-0.48</v>
      </c>
      <c r="K55" s="60" t="s">
        <v>100</v>
      </c>
      <c r="L55" s="60" t="s">
        <v>100</v>
      </c>
      <c r="M55" s="60" t="s">
        <v>100</v>
      </c>
      <c r="N55" s="60" t="s">
        <v>100</v>
      </c>
      <c r="O55" s="60" t="s">
        <v>100</v>
      </c>
      <c r="P55" s="60">
        <v>0.23</v>
      </c>
      <c r="Q55" s="60">
        <v>0.27</v>
      </c>
      <c r="R55" s="60">
        <v>2.47</v>
      </c>
      <c r="S55" s="60">
        <v>1.23</v>
      </c>
      <c r="T55" s="60">
        <v>2.89</v>
      </c>
      <c r="U55" s="60">
        <v>8.02</v>
      </c>
      <c r="V55" s="60">
        <v>6.26</v>
      </c>
      <c r="W55" s="60">
        <v>4.41</v>
      </c>
      <c r="X55" s="60">
        <v>0.96</v>
      </c>
      <c r="Y55" s="60">
        <v>-0.41</v>
      </c>
      <c r="Z55" s="60">
        <v>-0.2</v>
      </c>
      <c r="AA55" s="60">
        <v>-0.21</v>
      </c>
      <c r="AB55" s="60" t="s">
        <v>100</v>
      </c>
      <c r="AC55" s="60">
        <v>-0.74</v>
      </c>
      <c r="AD55" s="60">
        <v>-1.24</v>
      </c>
      <c r="AE55" s="60">
        <v>-1.14</v>
      </c>
      <c r="AF55" s="60">
        <v>-1</v>
      </c>
      <c r="AG55" s="60">
        <v>-1</v>
      </c>
      <c r="AH55" s="60">
        <v>-1.01</v>
      </c>
      <c r="AI55" s="60">
        <v>0.1</v>
      </c>
      <c r="AJ55" s="60" t="s">
        <v>100</v>
      </c>
      <c r="AK55" s="60" t="s">
        <v>100</v>
      </c>
      <c r="AL55" s="60" t="s">
        <v>100</v>
      </c>
      <c r="AM55" s="60" t="s">
        <v>100</v>
      </c>
      <c r="AN55" s="60" t="s">
        <v>100</v>
      </c>
      <c r="AO55" s="60" t="s">
        <v>100</v>
      </c>
      <c r="AP55" s="60" t="s">
        <v>100</v>
      </c>
      <c r="AQ55" s="60" t="s">
        <v>100</v>
      </c>
      <c r="AR55" s="60" t="s">
        <v>100</v>
      </c>
      <c r="AS55" s="60">
        <v>86.48</v>
      </c>
      <c r="AT55" s="60">
        <v>55.44</v>
      </c>
      <c r="AU55" s="60">
        <v>42.11</v>
      </c>
      <c r="AV55" s="60">
        <v>22.85</v>
      </c>
      <c r="AW55" s="60">
        <v>66.17</v>
      </c>
      <c r="AX55" s="60">
        <v>94.27</v>
      </c>
      <c r="AY55" s="60">
        <v>63.59</v>
      </c>
      <c r="AZ55" s="60">
        <v>121.67</v>
      </c>
    </row>
    <row r="56" spans="1:52" ht="15">
      <c r="A56" s="59" t="s">
        <v>141</v>
      </c>
      <c r="B56" s="58" t="s">
        <v>95</v>
      </c>
      <c r="C56" s="61" t="s">
        <v>100</v>
      </c>
      <c r="D56" s="61" t="s">
        <v>100</v>
      </c>
      <c r="E56" s="61" t="s">
        <v>100</v>
      </c>
      <c r="F56" s="61" t="s">
        <v>100</v>
      </c>
      <c r="G56" s="61" t="s">
        <v>100</v>
      </c>
      <c r="H56" s="61" t="s">
        <v>100</v>
      </c>
      <c r="I56" s="61" t="s">
        <v>100</v>
      </c>
      <c r="J56" s="61" t="s">
        <v>100</v>
      </c>
      <c r="K56" s="61" t="s">
        <v>100</v>
      </c>
      <c r="L56" s="61" t="s">
        <v>100</v>
      </c>
      <c r="M56" s="61" t="s">
        <v>100</v>
      </c>
      <c r="N56" s="61" t="s">
        <v>100</v>
      </c>
      <c r="O56" s="61" t="s">
        <v>100</v>
      </c>
      <c r="P56" s="61" t="s">
        <v>100</v>
      </c>
      <c r="Q56" s="61" t="s">
        <v>100</v>
      </c>
      <c r="R56" s="61" t="s">
        <v>100</v>
      </c>
      <c r="S56" s="61" t="s">
        <v>100</v>
      </c>
      <c r="T56" s="61" t="s">
        <v>100</v>
      </c>
      <c r="U56" s="61" t="s">
        <v>100</v>
      </c>
      <c r="V56" s="61" t="s">
        <v>100</v>
      </c>
      <c r="W56" s="61" t="s">
        <v>100</v>
      </c>
      <c r="X56" s="61" t="s">
        <v>100</v>
      </c>
      <c r="Y56" s="61" t="s">
        <v>100</v>
      </c>
      <c r="Z56" s="61" t="s">
        <v>100</v>
      </c>
      <c r="AA56" s="61" t="s">
        <v>100</v>
      </c>
      <c r="AB56" s="61" t="s">
        <v>100</v>
      </c>
      <c r="AC56" s="61" t="s">
        <v>100</v>
      </c>
      <c r="AD56" s="61" t="s">
        <v>100</v>
      </c>
      <c r="AE56" s="61" t="s">
        <v>100</v>
      </c>
      <c r="AF56" s="61" t="s">
        <v>100</v>
      </c>
      <c r="AG56" s="61" t="s">
        <v>100</v>
      </c>
      <c r="AH56" s="61" t="s">
        <v>100</v>
      </c>
      <c r="AI56" s="61" t="s">
        <v>100</v>
      </c>
      <c r="AJ56" s="61" t="s">
        <v>100</v>
      </c>
      <c r="AK56" s="61" t="s">
        <v>100</v>
      </c>
      <c r="AL56" s="61" t="s">
        <v>100</v>
      </c>
      <c r="AM56" s="61" t="s">
        <v>100</v>
      </c>
      <c r="AN56" s="61" t="s">
        <v>100</v>
      </c>
      <c r="AO56" s="61" t="s">
        <v>100</v>
      </c>
      <c r="AP56" s="61" t="s">
        <v>100</v>
      </c>
      <c r="AQ56" s="61" t="s">
        <v>100</v>
      </c>
      <c r="AR56" s="61" t="s">
        <v>100</v>
      </c>
      <c r="AS56" s="61" t="s">
        <v>100</v>
      </c>
      <c r="AT56" s="61" t="s">
        <v>100</v>
      </c>
      <c r="AU56" s="61" t="s">
        <v>100</v>
      </c>
      <c r="AV56" s="61" t="s">
        <v>100</v>
      </c>
      <c r="AW56" s="61" t="s">
        <v>100</v>
      </c>
      <c r="AX56" s="61" t="s">
        <v>100</v>
      </c>
      <c r="AY56" s="61" t="s">
        <v>100</v>
      </c>
      <c r="AZ56" s="61" t="s">
        <v>100</v>
      </c>
    </row>
    <row r="57" spans="1:52" ht="15">
      <c r="A57" s="59" t="s">
        <v>142</v>
      </c>
      <c r="B57" s="58" t="s">
        <v>95</v>
      </c>
      <c r="C57" s="60" t="s">
        <v>100</v>
      </c>
      <c r="D57" s="60" t="s">
        <v>100</v>
      </c>
      <c r="E57" s="60" t="s">
        <v>100</v>
      </c>
      <c r="F57" s="60" t="s">
        <v>100</v>
      </c>
      <c r="G57" s="60" t="s">
        <v>100</v>
      </c>
      <c r="H57" s="60" t="s">
        <v>100</v>
      </c>
      <c r="I57" s="60" t="s">
        <v>100</v>
      </c>
      <c r="J57" s="60" t="s">
        <v>100</v>
      </c>
      <c r="K57" s="60" t="s">
        <v>100</v>
      </c>
      <c r="L57" s="60" t="s">
        <v>100</v>
      </c>
      <c r="M57" s="60" t="s">
        <v>100</v>
      </c>
      <c r="N57" s="60" t="s">
        <v>100</v>
      </c>
      <c r="O57" s="60" t="s">
        <v>100</v>
      </c>
      <c r="P57" s="60" t="s">
        <v>100</v>
      </c>
      <c r="Q57" s="60" t="s">
        <v>100</v>
      </c>
      <c r="R57" s="60" t="s">
        <v>100</v>
      </c>
      <c r="S57" s="60" t="s">
        <v>100</v>
      </c>
      <c r="T57" s="60" t="s">
        <v>100</v>
      </c>
      <c r="U57" s="60" t="s">
        <v>100</v>
      </c>
      <c r="V57" s="60" t="s">
        <v>100</v>
      </c>
      <c r="W57" s="60" t="s">
        <v>100</v>
      </c>
      <c r="X57" s="60" t="s">
        <v>100</v>
      </c>
      <c r="Y57" s="60" t="s">
        <v>100</v>
      </c>
      <c r="Z57" s="60" t="s">
        <v>100</v>
      </c>
      <c r="AA57" s="60" t="s">
        <v>100</v>
      </c>
      <c r="AB57" s="60" t="s">
        <v>100</v>
      </c>
      <c r="AC57" s="60" t="s">
        <v>100</v>
      </c>
      <c r="AD57" s="60" t="s">
        <v>100</v>
      </c>
      <c r="AE57" s="60" t="s">
        <v>100</v>
      </c>
      <c r="AF57" s="60" t="s">
        <v>100</v>
      </c>
      <c r="AG57" s="60" t="s">
        <v>100</v>
      </c>
      <c r="AH57" s="60" t="s">
        <v>100</v>
      </c>
      <c r="AI57" s="60" t="s">
        <v>100</v>
      </c>
      <c r="AJ57" s="60" t="s">
        <v>100</v>
      </c>
      <c r="AK57" s="60" t="s">
        <v>100</v>
      </c>
      <c r="AL57" s="60" t="s">
        <v>100</v>
      </c>
      <c r="AM57" s="60" t="s">
        <v>100</v>
      </c>
      <c r="AN57" s="60" t="s">
        <v>100</v>
      </c>
      <c r="AO57" s="60" t="s">
        <v>100</v>
      </c>
      <c r="AP57" s="60" t="s">
        <v>100</v>
      </c>
      <c r="AQ57" s="60" t="s">
        <v>100</v>
      </c>
      <c r="AR57" s="60" t="s">
        <v>100</v>
      </c>
      <c r="AS57" s="60" t="s">
        <v>100</v>
      </c>
      <c r="AT57" s="60" t="s">
        <v>100</v>
      </c>
      <c r="AU57" s="60" t="s">
        <v>100</v>
      </c>
      <c r="AV57" s="60" t="s">
        <v>100</v>
      </c>
      <c r="AW57" s="60" t="s">
        <v>100</v>
      </c>
      <c r="AX57" s="60" t="s">
        <v>100</v>
      </c>
      <c r="AY57" s="60" t="s">
        <v>100</v>
      </c>
      <c r="AZ57" s="60" t="s">
        <v>100</v>
      </c>
    </row>
    <row r="58" spans="1:52" ht="15">
      <c r="A58" s="59" t="s">
        <v>143</v>
      </c>
      <c r="B58" s="58" t="s">
        <v>95</v>
      </c>
      <c r="C58" s="61" t="s">
        <v>100</v>
      </c>
      <c r="D58" s="61" t="s">
        <v>100</v>
      </c>
      <c r="E58" s="61" t="s">
        <v>100</v>
      </c>
      <c r="F58" s="61" t="s">
        <v>100</v>
      </c>
      <c r="G58" s="61" t="s">
        <v>100</v>
      </c>
      <c r="H58" s="61" t="s">
        <v>100</v>
      </c>
      <c r="I58" s="61" t="s">
        <v>100</v>
      </c>
      <c r="J58" s="61" t="s">
        <v>100</v>
      </c>
      <c r="K58" s="61" t="s">
        <v>100</v>
      </c>
      <c r="L58" s="61" t="s">
        <v>100</v>
      </c>
      <c r="M58" s="61" t="s">
        <v>100</v>
      </c>
      <c r="N58" s="61" t="s">
        <v>100</v>
      </c>
      <c r="O58" s="61" t="s">
        <v>100</v>
      </c>
      <c r="P58" s="61" t="s">
        <v>100</v>
      </c>
      <c r="Q58" s="61" t="s">
        <v>100</v>
      </c>
      <c r="R58" s="61" t="s">
        <v>100</v>
      </c>
      <c r="S58" s="61" t="s">
        <v>100</v>
      </c>
      <c r="T58" s="61" t="s">
        <v>100</v>
      </c>
      <c r="U58" s="61" t="s">
        <v>100</v>
      </c>
      <c r="V58" s="61" t="s">
        <v>100</v>
      </c>
      <c r="W58" s="61" t="s">
        <v>100</v>
      </c>
      <c r="X58" s="61" t="s">
        <v>100</v>
      </c>
      <c r="Y58" s="61" t="s">
        <v>100</v>
      </c>
      <c r="Z58" s="61" t="s">
        <v>100</v>
      </c>
      <c r="AA58" s="61" t="s">
        <v>100</v>
      </c>
      <c r="AB58" s="61" t="s">
        <v>100</v>
      </c>
      <c r="AC58" s="61" t="s">
        <v>100</v>
      </c>
      <c r="AD58" s="61" t="s">
        <v>100</v>
      </c>
      <c r="AE58" s="61" t="s">
        <v>100</v>
      </c>
      <c r="AF58" s="61" t="s">
        <v>100</v>
      </c>
      <c r="AG58" s="61" t="s">
        <v>100</v>
      </c>
      <c r="AH58" s="61" t="s">
        <v>100</v>
      </c>
      <c r="AI58" s="61" t="s">
        <v>100</v>
      </c>
      <c r="AJ58" s="61" t="s">
        <v>100</v>
      </c>
      <c r="AK58" s="61" t="s">
        <v>100</v>
      </c>
      <c r="AL58" s="61" t="s">
        <v>100</v>
      </c>
      <c r="AM58" s="61" t="s">
        <v>100</v>
      </c>
      <c r="AN58" s="61" t="s">
        <v>100</v>
      </c>
      <c r="AO58" s="61" t="s">
        <v>100</v>
      </c>
      <c r="AP58" s="61" t="s">
        <v>100</v>
      </c>
      <c r="AQ58" s="61" t="s">
        <v>100</v>
      </c>
      <c r="AR58" s="61" t="s">
        <v>100</v>
      </c>
      <c r="AS58" s="61" t="s">
        <v>100</v>
      </c>
      <c r="AT58" s="61" t="s">
        <v>100</v>
      </c>
      <c r="AU58" s="61" t="s">
        <v>100</v>
      </c>
      <c r="AV58" s="61" t="s">
        <v>100</v>
      </c>
      <c r="AW58" s="61" t="s">
        <v>100</v>
      </c>
      <c r="AX58" s="61" t="s">
        <v>100</v>
      </c>
      <c r="AY58" s="61" t="s">
        <v>100</v>
      </c>
      <c r="AZ58" s="61" t="s">
        <v>100</v>
      </c>
    </row>
    <row r="59" spans="1:52" ht="15">
      <c r="A59" s="62" t="s">
        <v>144</v>
      </c>
      <c r="B59" s="58" t="s">
        <v>95</v>
      </c>
      <c r="C59" s="60" t="s">
        <v>100</v>
      </c>
      <c r="D59" s="60" t="s">
        <v>100</v>
      </c>
      <c r="E59" s="60" t="s">
        <v>100</v>
      </c>
      <c r="F59" s="60" t="s">
        <v>100</v>
      </c>
      <c r="G59" s="60" t="s">
        <v>100</v>
      </c>
      <c r="H59" s="60" t="s">
        <v>100</v>
      </c>
      <c r="I59" s="60" t="s">
        <v>100</v>
      </c>
      <c r="J59" s="60" t="s">
        <v>100</v>
      </c>
      <c r="K59" s="60" t="s">
        <v>100</v>
      </c>
      <c r="L59" s="60" t="s">
        <v>100</v>
      </c>
      <c r="M59" s="60" t="s">
        <v>100</v>
      </c>
      <c r="N59" s="60" t="s">
        <v>100</v>
      </c>
      <c r="O59" s="60" t="s">
        <v>100</v>
      </c>
      <c r="P59" s="60" t="s">
        <v>100</v>
      </c>
      <c r="Q59" s="60" t="s">
        <v>100</v>
      </c>
      <c r="R59" s="60" t="s">
        <v>100</v>
      </c>
      <c r="S59" s="60" t="s">
        <v>100</v>
      </c>
      <c r="T59" s="60" t="s">
        <v>100</v>
      </c>
      <c r="U59" s="60" t="s">
        <v>100</v>
      </c>
      <c r="V59" s="60" t="s">
        <v>100</v>
      </c>
      <c r="W59" s="60" t="s">
        <v>100</v>
      </c>
      <c r="X59" s="60" t="s">
        <v>100</v>
      </c>
      <c r="Y59" s="60" t="s">
        <v>100</v>
      </c>
      <c r="Z59" s="60" t="s">
        <v>100</v>
      </c>
      <c r="AA59" s="60" t="s">
        <v>100</v>
      </c>
      <c r="AB59" s="60" t="s">
        <v>100</v>
      </c>
      <c r="AC59" s="60" t="s">
        <v>100</v>
      </c>
      <c r="AD59" s="60" t="s">
        <v>100</v>
      </c>
      <c r="AE59" s="60" t="s">
        <v>100</v>
      </c>
      <c r="AF59" s="60" t="s">
        <v>100</v>
      </c>
      <c r="AG59" s="60" t="s">
        <v>100</v>
      </c>
      <c r="AH59" s="60" t="s">
        <v>100</v>
      </c>
      <c r="AI59" s="60" t="s">
        <v>100</v>
      </c>
      <c r="AJ59" s="60" t="s">
        <v>100</v>
      </c>
      <c r="AK59" s="60" t="s">
        <v>100</v>
      </c>
      <c r="AL59" s="60" t="s">
        <v>100</v>
      </c>
      <c r="AM59" s="60" t="s">
        <v>100</v>
      </c>
      <c r="AN59" s="60" t="s">
        <v>100</v>
      </c>
      <c r="AO59" s="60" t="s">
        <v>100</v>
      </c>
      <c r="AP59" s="60" t="s">
        <v>100</v>
      </c>
      <c r="AQ59" s="60" t="s">
        <v>100</v>
      </c>
      <c r="AR59" s="60" t="s">
        <v>100</v>
      </c>
      <c r="AS59" s="60" t="s">
        <v>100</v>
      </c>
      <c r="AT59" s="60" t="s">
        <v>100</v>
      </c>
      <c r="AU59" s="60">
        <v>1.18</v>
      </c>
      <c r="AV59" s="60" t="s">
        <v>100</v>
      </c>
      <c r="AW59" s="60" t="s">
        <v>100</v>
      </c>
      <c r="AX59" s="60" t="s">
        <v>100</v>
      </c>
      <c r="AY59" s="60" t="s">
        <v>100</v>
      </c>
      <c r="AZ59" s="60">
        <v>1.4</v>
      </c>
    </row>
    <row r="60" spans="1:52" ht="15">
      <c r="A60" s="59" t="s">
        <v>145</v>
      </c>
      <c r="B60" s="58" t="s">
        <v>95</v>
      </c>
      <c r="C60" s="61" t="s">
        <v>100</v>
      </c>
      <c r="D60" s="61" t="s">
        <v>100</v>
      </c>
      <c r="E60" s="61" t="s">
        <v>100</v>
      </c>
      <c r="F60" s="61" t="s">
        <v>100</v>
      </c>
      <c r="G60" s="61" t="s">
        <v>100</v>
      </c>
      <c r="H60" s="61" t="s">
        <v>100</v>
      </c>
      <c r="I60" s="61" t="s">
        <v>100</v>
      </c>
      <c r="J60" s="61" t="s">
        <v>100</v>
      </c>
      <c r="K60" s="61" t="s">
        <v>100</v>
      </c>
      <c r="L60" s="61" t="s">
        <v>100</v>
      </c>
      <c r="M60" s="61" t="s">
        <v>100</v>
      </c>
      <c r="N60" s="61" t="s">
        <v>100</v>
      </c>
      <c r="O60" s="61" t="s">
        <v>100</v>
      </c>
      <c r="P60" s="61" t="s">
        <v>100</v>
      </c>
      <c r="Q60" s="61" t="s">
        <v>100</v>
      </c>
      <c r="R60" s="61" t="s">
        <v>100</v>
      </c>
      <c r="S60" s="61" t="s">
        <v>100</v>
      </c>
      <c r="T60" s="61" t="s">
        <v>100</v>
      </c>
      <c r="U60" s="61" t="s">
        <v>100</v>
      </c>
      <c r="V60" s="61" t="s">
        <v>100</v>
      </c>
      <c r="W60" s="61" t="s">
        <v>100</v>
      </c>
      <c r="X60" s="61" t="s">
        <v>100</v>
      </c>
      <c r="Y60" s="61" t="s">
        <v>100</v>
      </c>
      <c r="Z60" s="61" t="s">
        <v>100</v>
      </c>
      <c r="AA60" s="61" t="s">
        <v>100</v>
      </c>
      <c r="AB60" s="61" t="s">
        <v>100</v>
      </c>
      <c r="AC60" s="61" t="s">
        <v>100</v>
      </c>
      <c r="AD60" s="61" t="s">
        <v>100</v>
      </c>
      <c r="AE60" s="61" t="s">
        <v>100</v>
      </c>
      <c r="AF60" s="61" t="s">
        <v>100</v>
      </c>
      <c r="AG60" s="61" t="s">
        <v>100</v>
      </c>
      <c r="AH60" s="61" t="s">
        <v>100</v>
      </c>
      <c r="AI60" s="61" t="s">
        <v>100</v>
      </c>
      <c r="AJ60" s="61" t="s">
        <v>100</v>
      </c>
      <c r="AK60" s="61" t="s">
        <v>100</v>
      </c>
      <c r="AL60" s="61" t="s">
        <v>100</v>
      </c>
      <c r="AM60" s="61" t="s">
        <v>100</v>
      </c>
      <c r="AN60" s="61" t="s">
        <v>100</v>
      </c>
      <c r="AO60" s="61" t="s">
        <v>100</v>
      </c>
      <c r="AP60" s="61" t="s">
        <v>100</v>
      </c>
      <c r="AQ60" s="61" t="s">
        <v>100</v>
      </c>
      <c r="AR60" s="61" t="s">
        <v>100</v>
      </c>
      <c r="AS60" s="61" t="s">
        <v>100</v>
      </c>
      <c r="AT60" s="61" t="s">
        <v>100</v>
      </c>
      <c r="AU60" s="61" t="s">
        <v>100</v>
      </c>
      <c r="AV60" s="61" t="s">
        <v>100</v>
      </c>
      <c r="AW60" s="61" t="s">
        <v>100</v>
      </c>
      <c r="AX60" s="61">
        <v>13.54</v>
      </c>
      <c r="AY60" s="61">
        <v>19.04</v>
      </c>
      <c r="AZ60" s="61">
        <v>18.68</v>
      </c>
    </row>
    <row r="61" spans="1:52" ht="15">
      <c r="A61" s="59" t="s">
        <v>146</v>
      </c>
      <c r="B61" s="58" t="s">
        <v>95</v>
      </c>
      <c r="C61" s="60" t="s">
        <v>100</v>
      </c>
      <c r="D61" s="60" t="s">
        <v>100</v>
      </c>
      <c r="E61" s="60" t="s">
        <v>100</v>
      </c>
      <c r="F61" s="60" t="s">
        <v>100</v>
      </c>
      <c r="G61" s="60" t="s">
        <v>100</v>
      </c>
      <c r="H61" s="60" t="s">
        <v>100</v>
      </c>
      <c r="I61" s="60" t="s">
        <v>100</v>
      </c>
      <c r="J61" s="60" t="s">
        <v>100</v>
      </c>
      <c r="K61" s="60" t="s">
        <v>100</v>
      </c>
      <c r="L61" s="60" t="s">
        <v>100</v>
      </c>
      <c r="M61" s="60" t="s">
        <v>100</v>
      </c>
      <c r="N61" s="60" t="s">
        <v>100</v>
      </c>
      <c r="O61" s="60" t="s">
        <v>100</v>
      </c>
      <c r="P61" s="60" t="s">
        <v>100</v>
      </c>
      <c r="Q61" s="60" t="s">
        <v>100</v>
      </c>
      <c r="R61" s="60" t="s">
        <v>100</v>
      </c>
      <c r="S61" s="60" t="s">
        <v>100</v>
      </c>
      <c r="T61" s="60" t="s">
        <v>100</v>
      </c>
      <c r="U61" s="60" t="s">
        <v>100</v>
      </c>
      <c r="V61" s="60" t="s">
        <v>100</v>
      </c>
      <c r="W61" s="60" t="s">
        <v>100</v>
      </c>
      <c r="X61" s="60" t="s">
        <v>100</v>
      </c>
      <c r="Y61" s="60" t="s">
        <v>100</v>
      </c>
      <c r="Z61" s="60" t="s">
        <v>100</v>
      </c>
      <c r="AA61" s="60" t="s">
        <v>100</v>
      </c>
      <c r="AB61" s="60" t="s">
        <v>100</v>
      </c>
      <c r="AC61" s="60" t="s">
        <v>100</v>
      </c>
      <c r="AD61" s="60" t="s">
        <v>100</v>
      </c>
      <c r="AE61" s="60" t="s">
        <v>100</v>
      </c>
      <c r="AF61" s="60" t="s">
        <v>100</v>
      </c>
      <c r="AG61" s="60" t="s">
        <v>100</v>
      </c>
      <c r="AH61" s="60" t="s">
        <v>100</v>
      </c>
      <c r="AI61" s="60" t="s">
        <v>100</v>
      </c>
      <c r="AJ61" s="60" t="s">
        <v>100</v>
      </c>
      <c r="AK61" s="60" t="s">
        <v>100</v>
      </c>
      <c r="AL61" s="60" t="s">
        <v>100</v>
      </c>
      <c r="AM61" s="60" t="s">
        <v>100</v>
      </c>
      <c r="AN61" s="60" t="s">
        <v>100</v>
      </c>
      <c r="AO61" s="60" t="s">
        <v>100</v>
      </c>
      <c r="AP61" s="60" t="s">
        <v>100</v>
      </c>
      <c r="AQ61" s="60" t="s">
        <v>100</v>
      </c>
      <c r="AR61" s="60" t="s">
        <v>100</v>
      </c>
      <c r="AS61" s="60" t="s">
        <v>100</v>
      </c>
      <c r="AT61" s="60" t="s">
        <v>100</v>
      </c>
      <c r="AU61" s="60">
        <v>1.69</v>
      </c>
      <c r="AV61" s="60">
        <v>1.09</v>
      </c>
      <c r="AW61" s="60">
        <v>3.87</v>
      </c>
      <c r="AX61" s="60">
        <v>3.49</v>
      </c>
      <c r="AY61" s="60">
        <v>9.22</v>
      </c>
      <c r="AZ61" s="60">
        <v>25.99</v>
      </c>
    </row>
    <row r="62" spans="1:52" ht="15">
      <c r="A62" s="59" t="s">
        <v>147</v>
      </c>
      <c r="B62" s="58" t="s">
        <v>95</v>
      </c>
      <c r="C62" s="61" t="s">
        <v>100</v>
      </c>
      <c r="D62" s="61" t="s">
        <v>100</v>
      </c>
      <c r="E62" s="61" t="s">
        <v>100</v>
      </c>
      <c r="F62" s="61" t="s">
        <v>100</v>
      </c>
      <c r="G62" s="61" t="s">
        <v>100</v>
      </c>
      <c r="H62" s="61" t="s">
        <v>100</v>
      </c>
      <c r="I62" s="61" t="s">
        <v>100</v>
      </c>
      <c r="J62" s="61" t="s">
        <v>100</v>
      </c>
      <c r="K62" s="61" t="s">
        <v>100</v>
      </c>
      <c r="L62" s="61" t="s">
        <v>100</v>
      </c>
      <c r="M62" s="61" t="s">
        <v>100</v>
      </c>
      <c r="N62" s="61" t="s">
        <v>100</v>
      </c>
      <c r="O62" s="61" t="s">
        <v>100</v>
      </c>
      <c r="P62" s="61" t="s">
        <v>100</v>
      </c>
      <c r="Q62" s="61" t="s">
        <v>100</v>
      </c>
      <c r="R62" s="61" t="s">
        <v>100</v>
      </c>
      <c r="S62" s="61" t="s">
        <v>100</v>
      </c>
      <c r="T62" s="61" t="s">
        <v>100</v>
      </c>
      <c r="U62" s="61" t="s">
        <v>100</v>
      </c>
      <c r="V62" s="61" t="s">
        <v>100</v>
      </c>
      <c r="W62" s="61" t="s">
        <v>100</v>
      </c>
      <c r="X62" s="61" t="s">
        <v>100</v>
      </c>
      <c r="Y62" s="61" t="s">
        <v>100</v>
      </c>
      <c r="Z62" s="61" t="s">
        <v>100</v>
      </c>
      <c r="AA62" s="61" t="s">
        <v>100</v>
      </c>
      <c r="AB62" s="61" t="s">
        <v>100</v>
      </c>
      <c r="AC62" s="61" t="s">
        <v>100</v>
      </c>
      <c r="AD62" s="61" t="s">
        <v>100</v>
      </c>
      <c r="AE62" s="61" t="s">
        <v>100</v>
      </c>
      <c r="AF62" s="61" t="s">
        <v>100</v>
      </c>
      <c r="AG62" s="61" t="s">
        <v>100</v>
      </c>
      <c r="AH62" s="61" t="s">
        <v>100</v>
      </c>
      <c r="AI62" s="61" t="s">
        <v>100</v>
      </c>
      <c r="AJ62" s="61" t="s">
        <v>100</v>
      </c>
      <c r="AK62" s="61" t="s">
        <v>100</v>
      </c>
      <c r="AL62" s="61" t="s">
        <v>100</v>
      </c>
      <c r="AM62" s="61" t="s">
        <v>100</v>
      </c>
      <c r="AN62" s="61" t="s">
        <v>100</v>
      </c>
      <c r="AO62" s="61" t="s">
        <v>100</v>
      </c>
      <c r="AP62" s="61" t="s">
        <v>100</v>
      </c>
      <c r="AQ62" s="61" t="s">
        <v>100</v>
      </c>
      <c r="AR62" s="61" t="s">
        <v>100</v>
      </c>
      <c r="AS62" s="61" t="s">
        <v>100</v>
      </c>
      <c r="AT62" s="61" t="s">
        <v>100</v>
      </c>
      <c r="AU62" s="61" t="s">
        <v>100</v>
      </c>
      <c r="AV62" s="61" t="s">
        <v>100</v>
      </c>
      <c r="AW62" s="61">
        <v>0.05</v>
      </c>
      <c r="AX62" s="61">
        <v>0.08</v>
      </c>
      <c r="AY62" s="61">
        <v>0.16</v>
      </c>
      <c r="AZ62" s="61">
        <v>0.1</v>
      </c>
    </row>
    <row r="63" spans="1:52" ht="15">
      <c r="A63" s="59" t="s">
        <v>148</v>
      </c>
      <c r="B63" s="58" t="s">
        <v>95</v>
      </c>
      <c r="C63" s="60" t="s">
        <v>100</v>
      </c>
      <c r="D63" s="60" t="s">
        <v>100</v>
      </c>
      <c r="E63" s="60" t="s">
        <v>100</v>
      </c>
      <c r="F63" s="60" t="s">
        <v>100</v>
      </c>
      <c r="G63" s="60" t="s">
        <v>100</v>
      </c>
      <c r="H63" s="60" t="s">
        <v>100</v>
      </c>
      <c r="I63" s="60" t="s">
        <v>100</v>
      </c>
      <c r="J63" s="60" t="s">
        <v>100</v>
      </c>
      <c r="K63" s="60" t="s">
        <v>100</v>
      </c>
      <c r="L63" s="60" t="s">
        <v>100</v>
      </c>
      <c r="M63" s="60" t="s">
        <v>100</v>
      </c>
      <c r="N63" s="60" t="s">
        <v>100</v>
      </c>
      <c r="O63" s="60" t="s">
        <v>100</v>
      </c>
      <c r="P63" s="60" t="s">
        <v>100</v>
      </c>
      <c r="Q63" s="60" t="s">
        <v>100</v>
      </c>
      <c r="R63" s="60" t="s">
        <v>100</v>
      </c>
      <c r="S63" s="60" t="s">
        <v>100</v>
      </c>
      <c r="T63" s="60" t="s">
        <v>100</v>
      </c>
      <c r="U63" s="60" t="s">
        <v>100</v>
      </c>
      <c r="V63" s="60" t="s">
        <v>100</v>
      </c>
      <c r="W63" s="60" t="s">
        <v>100</v>
      </c>
      <c r="X63" s="60" t="s">
        <v>100</v>
      </c>
      <c r="Y63" s="60" t="s">
        <v>100</v>
      </c>
      <c r="Z63" s="60" t="s">
        <v>100</v>
      </c>
      <c r="AA63" s="60" t="s">
        <v>100</v>
      </c>
      <c r="AB63" s="60" t="s">
        <v>100</v>
      </c>
      <c r="AC63" s="60" t="s">
        <v>100</v>
      </c>
      <c r="AD63" s="60" t="s">
        <v>100</v>
      </c>
      <c r="AE63" s="60" t="s">
        <v>100</v>
      </c>
      <c r="AF63" s="60" t="s">
        <v>100</v>
      </c>
      <c r="AG63" s="60" t="s">
        <v>100</v>
      </c>
      <c r="AH63" s="60" t="s">
        <v>100</v>
      </c>
      <c r="AI63" s="60" t="s">
        <v>100</v>
      </c>
      <c r="AJ63" s="60" t="s">
        <v>100</v>
      </c>
      <c r="AK63" s="60" t="s">
        <v>100</v>
      </c>
      <c r="AL63" s="60" t="s">
        <v>100</v>
      </c>
      <c r="AM63" s="60" t="s">
        <v>100</v>
      </c>
      <c r="AN63" s="60" t="s">
        <v>100</v>
      </c>
      <c r="AO63" s="60" t="s">
        <v>100</v>
      </c>
      <c r="AP63" s="60" t="s">
        <v>100</v>
      </c>
      <c r="AQ63" s="60" t="s">
        <v>100</v>
      </c>
      <c r="AR63" s="60" t="s">
        <v>100</v>
      </c>
      <c r="AS63" s="60" t="s">
        <v>100</v>
      </c>
      <c r="AT63" s="60" t="s">
        <v>100</v>
      </c>
      <c r="AU63" s="60" t="s">
        <v>100</v>
      </c>
      <c r="AV63" s="60" t="s">
        <v>100</v>
      </c>
      <c r="AW63" s="60" t="s">
        <v>100</v>
      </c>
      <c r="AX63" s="60" t="s">
        <v>100</v>
      </c>
      <c r="AY63" s="60" t="s">
        <v>100</v>
      </c>
      <c r="AZ63" s="60" t="s">
        <v>100</v>
      </c>
    </row>
    <row r="64" spans="1:52" ht="15">
      <c r="A64" s="59" t="s">
        <v>149</v>
      </c>
      <c r="B64" s="58" t="s">
        <v>95</v>
      </c>
      <c r="C64" s="61" t="s">
        <v>100</v>
      </c>
      <c r="D64" s="61">
        <v>-0.5</v>
      </c>
      <c r="E64" s="61">
        <v>-0.2</v>
      </c>
      <c r="F64" s="61">
        <v>-0.2</v>
      </c>
      <c r="G64" s="61">
        <v>-0.2</v>
      </c>
      <c r="H64" s="61" t="s">
        <v>100</v>
      </c>
      <c r="I64" s="61" t="s">
        <v>100</v>
      </c>
      <c r="J64" s="61">
        <v>0.12</v>
      </c>
      <c r="K64" s="61" t="s">
        <v>100</v>
      </c>
      <c r="L64" s="61">
        <v>0.02</v>
      </c>
      <c r="M64" s="61">
        <v>0.01</v>
      </c>
      <c r="N64" s="61">
        <v>1.64</v>
      </c>
      <c r="O64" s="61">
        <v>3.02</v>
      </c>
      <c r="P64" s="61">
        <v>1.09</v>
      </c>
      <c r="Q64" s="61">
        <v>2.84</v>
      </c>
      <c r="R64" s="61">
        <v>2.07</v>
      </c>
      <c r="S64" s="61">
        <v>14.4</v>
      </c>
      <c r="T64" s="61">
        <v>24.7</v>
      </c>
      <c r="U64" s="61">
        <v>14.5</v>
      </c>
      <c r="V64" s="61">
        <v>12.27</v>
      </c>
      <c r="W64" s="61">
        <v>5.56</v>
      </c>
      <c r="X64" s="61">
        <v>0.06</v>
      </c>
      <c r="Y64" s="61">
        <v>-0.22</v>
      </c>
      <c r="Z64" s="61">
        <v>-0.31</v>
      </c>
      <c r="AA64" s="61">
        <v>-0.42</v>
      </c>
      <c r="AB64" s="61">
        <v>-0.32</v>
      </c>
      <c r="AC64" s="61">
        <v>-1.02</v>
      </c>
      <c r="AD64" s="61">
        <v>-1.1</v>
      </c>
      <c r="AE64" s="61">
        <v>-1</v>
      </c>
      <c r="AF64" s="61">
        <v>-1</v>
      </c>
      <c r="AG64" s="61">
        <v>-1</v>
      </c>
      <c r="AH64" s="61">
        <v>-1</v>
      </c>
      <c r="AI64" s="61" t="s">
        <v>100</v>
      </c>
      <c r="AJ64" s="61" t="s">
        <v>100</v>
      </c>
      <c r="AK64" s="61" t="s">
        <v>100</v>
      </c>
      <c r="AL64" s="61" t="s">
        <v>100</v>
      </c>
      <c r="AM64" s="61" t="s">
        <v>100</v>
      </c>
      <c r="AN64" s="61" t="s">
        <v>100</v>
      </c>
      <c r="AO64" s="61" t="s">
        <v>100</v>
      </c>
      <c r="AP64" s="61" t="s">
        <v>100</v>
      </c>
      <c r="AQ64" s="61" t="s">
        <v>100</v>
      </c>
      <c r="AR64" s="61" t="s">
        <v>100</v>
      </c>
      <c r="AS64" s="61">
        <v>20.17</v>
      </c>
      <c r="AT64" s="61">
        <v>72.24</v>
      </c>
      <c r="AU64" s="61">
        <v>227.79</v>
      </c>
      <c r="AV64" s="61">
        <v>282.08</v>
      </c>
      <c r="AW64" s="61">
        <v>140.72</v>
      </c>
      <c r="AX64" s="61">
        <v>329.55</v>
      </c>
      <c r="AY64" s="61">
        <v>165.4</v>
      </c>
      <c r="AZ64" s="61">
        <v>295.34</v>
      </c>
    </row>
    <row r="65" spans="1:52" ht="15">
      <c r="A65" s="59" t="s">
        <v>150</v>
      </c>
      <c r="B65" s="58" t="s">
        <v>95</v>
      </c>
      <c r="C65" s="60" t="s">
        <v>100</v>
      </c>
      <c r="D65" s="60" t="s">
        <v>100</v>
      </c>
      <c r="E65" s="60" t="s">
        <v>100</v>
      </c>
      <c r="F65" s="60" t="s">
        <v>100</v>
      </c>
      <c r="G65" s="60" t="s">
        <v>100</v>
      </c>
      <c r="H65" s="60" t="s">
        <v>100</v>
      </c>
      <c r="I65" s="60" t="s">
        <v>100</v>
      </c>
      <c r="J65" s="60" t="s">
        <v>100</v>
      </c>
      <c r="K65" s="60" t="s">
        <v>100</v>
      </c>
      <c r="L65" s="60" t="s">
        <v>100</v>
      </c>
      <c r="M65" s="60" t="s">
        <v>100</v>
      </c>
      <c r="N65" s="60" t="s">
        <v>100</v>
      </c>
      <c r="O65" s="60" t="s">
        <v>100</v>
      </c>
      <c r="P65" s="60" t="s">
        <v>100</v>
      </c>
      <c r="Q65" s="60" t="s">
        <v>100</v>
      </c>
      <c r="R65" s="60" t="s">
        <v>100</v>
      </c>
      <c r="S65" s="60" t="s">
        <v>100</v>
      </c>
      <c r="T65" s="60" t="s">
        <v>100</v>
      </c>
      <c r="U65" s="60" t="s">
        <v>100</v>
      </c>
      <c r="V65" s="60" t="s">
        <v>100</v>
      </c>
      <c r="W65" s="60" t="s">
        <v>100</v>
      </c>
      <c r="X65" s="60" t="s">
        <v>100</v>
      </c>
      <c r="Y65" s="60" t="s">
        <v>100</v>
      </c>
      <c r="Z65" s="60" t="s">
        <v>100</v>
      </c>
      <c r="AA65" s="60" t="s">
        <v>100</v>
      </c>
      <c r="AB65" s="60" t="s">
        <v>100</v>
      </c>
      <c r="AC65" s="60" t="s">
        <v>100</v>
      </c>
      <c r="AD65" s="60" t="s">
        <v>100</v>
      </c>
      <c r="AE65" s="60" t="s">
        <v>100</v>
      </c>
      <c r="AF65" s="60" t="s">
        <v>100</v>
      </c>
      <c r="AG65" s="60" t="s">
        <v>100</v>
      </c>
      <c r="AH65" s="60" t="s">
        <v>100</v>
      </c>
      <c r="AI65" s="60" t="s">
        <v>100</v>
      </c>
      <c r="AJ65" s="60" t="s">
        <v>100</v>
      </c>
      <c r="AK65" s="60" t="s">
        <v>100</v>
      </c>
      <c r="AL65" s="60" t="s">
        <v>100</v>
      </c>
      <c r="AM65" s="60" t="s">
        <v>100</v>
      </c>
      <c r="AN65" s="60" t="s">
        <v>100</v>
      </c>
      <c r="AO65" s="60" t="s">
        <v>100</v>
      </c>
      <c r="AP65" s="60" t="s">
        <v>100</v>
      </c>
      <c r="AQ65" s="60" t="s">
        <v>100</v>
      </c>
      <c r="AR65" s="60" t="s">
        <v>100</v>
      </c>
      <c r="AS65" s="60" t="s">
        <v>100</v>
      </c>
      <c r="AT65" s="60" t="s">
        <v>100</v>
      </c>
      <c r="AU65" s="60" t="s">
        <v>100</v>
      </c>
      <c r="AV65" s="60" t="s">
        <v>100</v>
      </c>
      <c r="AW65" s="60" t="s">
        <v>100</v>
      </c>
      <c r="AX65" s="60" t="s">
        <v>100</v>
      </c>
      <c r="AY65" s="60" t="s">
        <v>100</v>
      </c>
      <c r="AZ65" s="60" t="s">
        <v>100</v>
      </c>
    </row>
    <row r="66" spans="1:52" ht="15">
      <c r="A66" s="59" t="s">
        <v>151</v>
      </c>
      <c r="B66" s="58" t="s">
        <v>95</v>
      </c>
      <c r="C66" s="61" t="s">
        <v>100</v>
      </c>
      <c r="D66" s="61" t="s">
        <v>100</v>
      </c>
      <c r="E66" s="61" t="s">
        <v>100</v>
      </c>
      <c r="F66" s="61" t="s">
        <v>100</v>
      </c>
      <c r="G66" s="61" t="s">
        <v>100</v>
      </c>
      <c r="H66" s="61" t="s">
        <v>100</v>
      </c>
      <c r="I66" s="61" t="s">
        <v>100</v>
      </c>
      <c r="J66" s="61" t="s">
        <v>100</v>
      </c>
      <c r="K66" s="61" t="s">
        <v>100</v>
      </c>
      <c r="L66" s="61" t="s">
        <v>100</v>
      </c>
      <c r="M66" s="61" t="s">
        <v>100</v>
      </c>
      <c r="N66" s="61" t="s">
        <v>100</v>
      </c>
      <c r="O66" s="61" t="s">
        <v>100</v>
      </c>
      <c r="P66" s="61" t="s">
        <v>100</v>
      </c>
      <c r="Q66" s="61" t="s">
        <v>100</v>
      </c>
      <c r="R66" s="61" t="s">
        <v>100</v>
      </c>
      <c r="S66" s="61" t="s">
        <v>100</v>
      </c>
      <c r="T66" s="61" t="s">
        <v>100</v>
      </c>
      <c r="U66" s="61" t="s">
        <v>100</v>
      </c>
      <c r="V66" s="61" t="s">
        <v>100</v>
      </c>
      <c r="W66" s="61" t="s">
        <v>100</v>
      </c>
      <c r="X66" s="61" t="s">
        <v>100</v>
      </c>
      <c r="Y66" s="61" t="s">
        <v>100</v>
      </c>
      <c r="Z66" s="61" t="s">
        <v>100</v>
      </c>
      <c r="AA66" s="61" t="s">
        <v>100</v>
      </c>
      <c r="AB66" s="61" t="s">
        <v>100</v>
      </c>
      <c r="AC66" s="61" t="s">
        <v>100</v>
      </c>
      <c r="AD66" s="61" t="s">
        <v>100</v>
      </c>
      <c r="AE66" s="61" t="s">
        <v>100</v>
      </c>
      <c r="AF66" s="61" t="s">
        <v>100</v>
      </c>
      <c r="AG66" s="61" t="s">
        <v>100</v>
      </c>
      <c r="AH66" s="61" t="s">
        <v>100</v>
      </c>
      <c r="AI66" s="61" t="s">
        <v>100</v>
      </c>
      <c r="AJ66" s="61" t="s">
        <v>100</v>
      </c>
      <c r="AK66" s="61" t="s">
        <v>100</v>
      </c>
      <c r="AL66" s="61" t="s">
        <v>100</v>
      </c>
      <c r="AM66" s="61" t="s">
        <v>100</v>
      </c>
      <c r="AN66" s="61" t="s">
        <v>100</v>
      </c>
      <c r="AO66" s="61" t="s">
        <v>100</v>
      </c>
      <c r="AP66" s="61" t="s">
        <v>100</v>
      </c>
      <c r="AQ66" s="61" t="s">
        <v>100</v>
      </c>
      <c r="AR66" s="61" t="s">
        <v>100</v>
      </c>
      <c r="AS66" s="61" t="s">
        <v>100</v>
      </c>
      <c r="AT66" s="61" t="s">
        <v>100</v>
      </c>
      <c r="AU66" s="61" t="s">
        <v>100</v>
      </c>
      <c r="AV66" s="61" t="s">
        <v>100</v>
      </c>
      <c r="AW66" s="61" t="s">
        <v>100</v>
      </c>
      <c r="AX66" s="61" t="s">
        <v>100</v>
      </c>
      <c r="AY66" s="61" t="s">
        <v>100</v>
      </c>
      <c r="AZ66" s="61">
        <v>1.25</v>
      </c>
    </row>
    <row r="67" spans="1:52" ht="15">
      <c r="A67" s="59" t="s">
        <v>152</v>
      </c>
      <c r="B67" s="58" t="s">
        <v>95</v>
      </c>
      <c r="C67" s="60" t="s">
        <v>100</v>
      </c>
      <c r="D67" s="60" t="s">
        <v>100</v>
      </c>
      <c r="E67" s="60" t="s">
        <v>100</v>
      </c>
      <c r="F67" s="60" t="s">
        <v>100</v>
      </c>
      <c r="G67" s="60" t="s">
        <v>100</v>
      </c>
      <c r="H67" s="60" t="s">
        <v>100</v>
      </c>
      <c r="I67" s="60" t="s">
        <v>100</v>
      </c>
      <c r="J67" s="60" t="s">
        <v>100</v>
      </c>
      <c r="K67" s="60" t="s">
        <v>100</v>
      </c>
      <c r="L67" s="60" t="s">
        <v>100</v>
      </c>
      <c r="M67" s="60" t="s">
        <v>100</v>
      </c>
      <c r="N67" s="60" t="s">
        <v>100</v>
      </c>
      <c r="O67" s="60" t="s">
        <v>100</v>
      </c>
      <c r="P67" s="60" t="s">
        <v>100</v>
      </c>
      <c r="Q67" s="60" t="s">
        <v>100</v>
      </c>
      <c r="R67" s="60" t="s">
        <v>100</v>
      </c>
      <c r="S67" s="60" t="s">
        <v>100</v>
      </c>
      <c r="T67" s="60" t="s">
        <v>100</v>
      </c>
      <c r="U67" s="60" t="s">
        <v>100</v>
      </c>
      <c r="V67" s="60" t="s">
        <v>100</v>
      </c>
      <c r="W67" s="60" t="s">
        <v>100</v>
      </c>
      <c r="X67" s="60" t="s">
        <v>100</v>
      </c>
      <c r="Y67" s="60" t="s">
        <v>100</v>
      </c>
      <c r="Z67" s="60" t="s">
        <v>100</v>
      </c>
      <c r="AA67" s="60" t="s">
        <v>100</v>
      </c>
      <c r="AB67" s="60" t="s">
        <v>100</v>
      </c>
      <c r="AC67" s="60" t="s">
        <v>100</v>
      </c>
      <c r="AD67" s="60" t="s">
        <v>100</v>
      </c>
      <c r="AE67" s="60" t="s">
        <v>100</v>
      </c>
      <c r="AF67" s="60" t="s">
        <v>100</v>
      </c>
      <c r="AG67" s="60" t="s">
        <v>100</v>
      </c>
      <c r="AH67" s="60" t="s">
        <v>100</v>
      </c>
      <c r="AI67" s="60" t="s">
        <v>100</v>
      </c>
      <c r="AJ67" s="60" t="s">
        <v>100</v>
      </c>
      <c r="AK67" s="60" t="s">
        <v>100</v>
      </c>
      <c r="AL67" s="60" t="s">
        <v>100</v>
      </c>
      <c r="AM67" s="60" t="s">
        <v>100</v>
      </c>
      <c r="AN67" s="60" t="s">
        <v>100</v>
      </c>
      <c r="AO67" s="60" t="s">
        <v>100</v>
      </c>
      <c r="AP67" s="60" t="s">
        <v>100</v>
      </c>
      <c r="AQ67" s="60" t="s">
        <v>100</v>
      </c>
      <c r="AR67" s="60" t="s">
        <v>100</v>
      </c>
      <c r="AS67" s="60" t="s">
        <v>100</v>
      </c>
      <c r="AT67" s="60" t="s">
        <v>100</v>
      </c>
      <c r="AU67" s="60" t="s">
        <v>100</v>
      </c>
      <c r="AV67" s="60" t="s">
        <v>100</v>
      </c>
      <c r="AW67" s="60" t="s">
        <v>100</v>
      </c>
      <c r="AX67" s="60" t="s">
        <v>100</v>
      </c>
      <c r="AY67" s="60" t="s">
        <v>100</v>
      </c>
      <c r="AZ67" s="60" t="s">
        <v>100</v>
      </c>
    </row>
    <row r="68" spans="1:52" ht="15">
      <c r="A68" s="59" t="s">
        <v>153</v>
      </c>
      <c r="B68" s="58" t="s">
        <v>95</v>
      </c>
      <c r="C68" s="61" t="s">
        <v>100</v>
      </c>
      <c r="D68" s="61" t="s">
        <v>100</v>
      </c>
      <c r="E68" s="61" t="s">
        <v>100</v>
      </c>
      <c r="F68" s="61" t="s">
        <v>100</v>
      </c>
      <c r="G68" s="61" t="s">
        <v>100</v>
      </c>
      <c r="H68" s="61" t="s">
        <v>100</v>
      </c>
      <c r="I68" s="61" t="s">
        <v>100</v>
      </c>
      <c r="J68" s="61" t="s">
        <v>100</v>
      </c>
      <c r="K68" s="61" t="s">
        <v>100</v>
      </c>
      <c r="L68" s="61" t="s">
        <v>100</v>
      </c>
      <c r="M68" s="61" t="s">
        <v>100</v>
      </c>
      <c r="N68" s="61" t="s">
        <v>100</v>
      </c>
      <c r="O68" s="61" t="s">
        <v>100</v>
      </c>
      <c r="P68" s="61" t="s">
        <v>100</v>
      </c>
      <c r="Q68" s="61" t="s">
        <v>100</v>
      </c>
      <c r="R68" s="61" t="s">
        <v>100</v>
      </c>
      <c r="S68" s="61" t="s">
        <v>100</v>
      </c>
      <c r="T68" s="61" t="s">
        <v>100</v>
      </c>
      <c r="U68" s="61" t="s">
        <v>100</v>
      </c>
      <c r="V68" s="61" t="s">
        <v>100</v>
      </c>
      <c r="W68" s="61" t="s">
        <v>100</v>
      </c>
      <c r="X68" s="61" t="s">
        <v>100</v>
      </c>
      <c r="Y68" s="61" t="s">
        <v>100</v>
      </c>
      <c r="Z68" s="61" t="s">
        <v>100</v>
      </c>
      <c r="AA68" s="61" t="s">
        <v>100</v>
      </c>
      <c r="AB68" s="61" t="s">
        <v>100</v>
      </c>
      <c r="AC68" s="61" t="s">
        <v>100</v>
      </c>
      <c r="AD68" s="61" t="s">
        <v>100</v>
      </c>
      <c r="AE68" s="61" t="s">
        <v>100</v>
      </c>
      <c r="AF68" s="61" t="s">
        <v>100</v>
      </c>
      <c r="AG68" s="61" t="s">
        <v>100</v>
      </c>
      <c r="AH68" s="61" t="s">
        <v>100</v>
      </c>
      <c r="AI68" s="61" t="s">
        <v>100</v>
      </c>
      <c r="AJ68" s="61" t="s">
        <v>100</v>
      </c>
      <c r="AK68" s="61" t="s">
        <v>100</v>
      </c>
      <c r="AL68" s="61" t="s">
        <v>100</v>
      </c>
      <c r="AM68" s="61" t="s">
        <v>100</v>
      </c>
      <c r="AN68" s="61" t="s">
        <v>100</v>
      </c>
      <c r="AO68" s="61" t="s">
        <v>100</v>
      </c>
      <c r="AP68" s="61" t="s">
        <v>100</v>
      </c>
      <c r="AQ68" s="61" t="s">
        <v>100</v>
      </c>
      <c r="AR68" s="61" t="s">
        <v>100</v>
      </c>
      <c r="AS68" s="61" t="s">
        <v>100</v>
      </c>
      <c r="AT68" s="61" t="s">
        <v>100</v>
      </c>
      <c r="AU68" s="61" t="s">
        <v>100</v>
      </c>
      <c r="AV68" s="61" t="s">
        <v>100</v>
      </c>
      <c r="AW68" s="61" t="s">
        <v>100</v>
      </c>
      <c r="AX68" s="61" t="s">
        <v>100</v>
      </c>
      <c r="AY68" s="61" t="s">
        <v>100</v>
      </c>
      <c r="AZ68" s="61" t="s">
        <v>100</v>
      </c>
    </row>
    <row r="69" spans="1:52" ht="15">
      <c r="A69" s="59" t="s">
        <v>154</v>
      </c>
      <c r="B69" s="58" t="s">
        <v>95</v>
      </c>
      <c r="C69" s="60" t="s">
        <v>100</v>
      </c>
      <c r="D69" s="60" t="s">
        <v>100</v>
      </c>
      <c r="E69" s="60" t="s">
        <v>100</v>
      </c>
      <c r="F69" s="60" t="s">
        <v>100</v>
      </c>
      <c r="G69" s="60" t="s">
        <v>100</v>
      </c>
      <c r="H69" s="60" t="s">
        <v>100</v>
      </c>
      <c r="I69" s="60" t="s">
        <v>100</v>
      </c>
      <c r="J69" s="60" t="s">
        <v>100</v>
      </c>
      <c r="K69" s="60" t="s">
        <v>100</v>
      </c>
      <c r="L69" s="60" t="s">
        <v>100</v>
      </c>
      <c r="M69" s="60" t="s">
        <v>100</v>
      </c>
      <c r="N69" s="60" t="s">
        <v>100</v>
      </c>
      <c r="O69" s="60" t="s">
        <v>100</v>
      </c>
      <c r="P69" s="60" t="s">
        <v>100</v>
      </c>
      <c r="Q69" s="60" t="s">
        <v>100</v>
      </c>
      <c r="R69" s="60" t="s">
        <v>100</v>
      </c>
      <c r="S69" s="60" t="s">
        <v>100</v>
      </c>
      <c r="T69" s="60" t="s">
        <v>100</v>
      </c>
      <c r="U69" s="60" t="s">
        <v>100</v>
      </c>
      <c r="V69" s="60" t="s">
        <v>100</v>
      </c>
      <c r="W69" s="60" t="s">
        <v>100</v>
      </c>
      <c r="X69" s="60" t="s">
        <v>100</v>
      </c>
      <c r="Y69" s="60" t="s">
        <v>100</v>
      </c>
      <c r="Z69" s="60" t="s">
        <v>100</v>
      </c>
      <c r="AA69" s="60" t="s">
        <v>100</v>
      </c>
      <c r="AB69" s="60" t="s">
        <v>100</v>
      </c>
      <c r="AC69" s="60" t="s">
        <v>100</v>
      </c>
      <c r="AD69" s="60" t="s">
        <v>100</v>
      </c>
      <c r="AE69" s="60" t="s">
        <v>100</v>
      </c>
      <c r="AF69" s="60" t="s">
        <v>100</v>
      </c>
      <c r="AG69" s="60" t="s">
        <v>100</v>
      </c>
      <c r="AH69" s="60" t="s">
        <v>100</v>
      </c>
      <c r="AI69" s="60" t="s">
        <v>100</v>
      </c>
      <c r="AJ69" s="60" t="s">
        <v>100</v>
      </c>
      <c r="AK69" s="60" t="s">
        <v>100</v>
      </c>
      <c r="AL69" s="60" t="s">
        <v>100</v>
      </c>
      <c r="AM69" s="60" t="s">
        <v>100</v>
      </c>
      <c r="AN69" s="60" t="s">
        <v>100</v>
      </c>
      <c r="AO69" s="60" t="s">
        <v>100</v>
      </c>
      <c r="AP69" s="60" t="s">
        <v>100</v>
      </c>
      <c r="AQ69" s="60" t="s">
        <v>100</v>
      </c>
      <c r="AR69" s="60" t="s">
        <v>100</v>
      </c>
      <c r="AS69" s="60" t="s">
        <v>100</v>
      </c>
      <c r="AT69" s="60" t="s">
        <v>100</v>
      </c>
      <c r="AU69" s="60" t="s">
        <v>100</v>
      </c>
      <c r="AV69" s="60" t="s">
        <v>100</v>
      </c>
      <c r="AW69" s="60" t="s">
        <v>100</v>
      </c>
      <c r="AX69" s="60">
        <v>54.74</v>
      </c>
      <c r="AY69" s="60">
        <v>35.71</v>
      </c>
      <c r="AZ69" s="60">
        <v>17.43</v>
      </c>
    </row>
    <row r="70" spans="1:52" ht="15">
      <c r="A70" s="59" t="s">
        <v>155</v>
      </c>
      <c r="B70" s="58" t="s">
        <v>95</v>
      </c>
      <c r="C70" s="61" t="s">
        <v>100</v>
      </c>
      <c r="D70" s="61" t="s">
        <v>100</v>
      </c>
      <c r="E70" s="61" t="s">
        <v>100</v>
      </c>
      <c r="F70" s="61" t="s">
        <v>100</v>
      </c>
      <c r="G70" s="61" t="s">
        <v>100</v>
      </c>
      <c r="H70" s="61" t="s">
        <v>100</v>
      </c>
      <c r="I70" s="61" t="s">
        <v>100</v>
      </c>
      <c r="J70" s="61" t="s">
        <v>100</v>
      </c>
      <c r="K70" s="61" t="s">
        <v>100</v>
      </c>
      <c r="L70" s="61" t="s">
        <v>100</v>
      </c>
      <c r="M70" s="61" t="s">
        <v>100</v>
      </c>
      <c r="N70" s="61" t="s">
        <v>100</v>
      </c>
      <c r="O70" s="61" t="s">
        <v>100</v>
      </c>
      <c r="P70" s="61" t="s">
        <v>100</v>
      </c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61" t="s">
        <v>100</v>
      </c>
      <c r="Z70" s="61" t="s">
        <v>100</v>
      </c>
      <c r="AA70" s="61" t="s">
        <v>100</v>
      </c>
      <c r="AB70" s="61" t="s">
        <v>100</v>
      </c>
      <c r="AC70" s="61" t="s">
        <v>100</v>
      </c>
      <c r="AD70" s="61" t="s">
        <v>100</v>
      </c>
      <c r="AE70" s="61" t="s">
        <v>100</v>
      </c>
      <c r="AF70" s="61" t="s">
        <v>100</v>
      </c>
      <c r="AG70" s="61" t="s">
        <v>100</v>
      </c>
      <c r="AH70" s="61" t="s">
        <v>100</v>
      </c>
      <c r="AI70" s="61" t="s">
        <v>100</v>
      </c>
      <c r="AJ70" s="61" t="s">
        <v>100</v>
      </c>
      <c r="AK70" s="61" t="s">
        <v>100</v>
      </c>
      <c r="AL70" s="61" t="s">
        <v>100</v>
      </c>
      <c r="AM70" s="61" t="s">
        <v>100</v>
      </c>
      <c r="AN70" s="61" t="s">
        <v>100</v>
      </c>
      <c r="AO70" s="61" t="s">
        <v>100</v>
      </c>
      <c r="AP70" s="61" t="s">
        <v>100</v>
      </c>
      <c r="AQ70" s="61" t="s">
        <v>100</v>
      </c>
      <c r="AR70" s="61" t="s">
        <v>100</v>
      </c>
      <c r="AS70" s="61" t="s">
        <v>100</v>
      </c>
      <c r="AT70" s="61" t="s">
        <v>100</v>
      </c>
      <c r="AU70" s="61" t="s">
        <v>100</v>
      </c>
      <c r="AV70" s="61" t="s">
        <v>100</v>
      </c>
      <c r="AW70" s="61" t="s">
        <v>100</v>
      </c>
      <c r="AX70" s="61" t="s">
        <v>100</v>
      </c>
      <c r="AY70" s="61" t="s">
        <v>100</v>
      </c>
      <c r="AZ70" s="61" t="s">
        <v>100</v>
      </c>
    </row>
    <row r="71" spans="1:52" ht="15">
      <c r="A71" s="59" t="s">
        <v>156</v>
      </c>
      <c r="B71" s="58" t="s">
        <v>95</v>
      </c>
      <c r="C71" s="60" t="s">
        <v>100</v>
      </c>
      <c r="D71" s="60" t="s">
        <v>100</v>
      </c>
      <c r="E71" s="60" t="s">
        <v>100</v>
      </c>
      <c r="F71" s="60" t="s">
        <v>100</v>
      </c>
      <c r="G71" s="60" t="s">
        <v>100</v>
      </c>
      <c r="H71" s="60" t="s">
        <v>100</v>
      </c>
      <c r="I71" s="60" t="s">
        <v>100</v>
      </c>
      <c r="J71" s="60" t="s">
        <v>100</v>
      </c>
      <c r="K71" s="60" t="s">
        <v>100</v>
      </c>
      <c r="L71" s="60" t="s">
        <v>100</v>
      </c>
      <c r="M71" s="60" t="s">
        <v>100</v>
      </c>
      <c r="N71" s="60" t="s">
        <v>100</v>
      </c>
      <c r="O71" s="60" t="s">
        <v>100</v>
      </c>
      <c r="P71" s="60" t="s">
        <v>100</v>
      </c>
      <c r="Q71" s="60" t="s">
        <v>100</v>
      </c>
      <c r="R71" s="60" t="s">
        <v>100</v>
      </c>
      <c r="S71" s="60" t="s">
        <v>100</v>
      </c>
      <c r="T71" s="60" t="s">
        <v>100</v>
      </c>
      <c r="U71" s="60" t="s">
        <v>100</v>
      </c>
      <c r="V71" s="60" t="s">
        <v>100</v>
      </c>
      <c r="W71" s="60" t="s">
        <v>100</v>
      </c>
      <c r="X71" s="60" t="s">
        <v>100</v>
      </c>
      <c r="Y71" s="60" t="s">
        <v>100</v>
      </c>
      <c r="Z71" s="60" t="s">
        <v>100</v>
      </c>
      <c r="AA71" s="60" t="s">
        <v>100</v>
      </c>
      <c r="AB71" s="60" t="s">
        <v>100</v>
      </c>
      <c r="AC71" s="60" t="s">
        <v>100</v>
      </c>
      <c r="AD71" s="60" t="s">
        <v>100</v>
      </c>
      <c r="AE71" s="60" t="s">
        <v>100</v>
      </c>
      <c r="AF71" s="60" t="s">
        <v>100</v>
      </c>
      <c r="AG71" s="60" t="s">
        <v>100</v>
      </c>
      <c r="AH71" s="60" t="s">
        <v>100</v>
      </c>
      <c r="AI71" s="60" t="s">
        <v>100</v>
      </c>
      <c r="AJ71" s="60" t="s">
        <v>100</v>
      </c>
      <c r="AK71" s="60" t="s">
        <v>100</v>
      </c>
      <c r="AL71" s="60" t="s">
        <v>100</v>
      </c>
      <c r="AM71" s="60" t="s">
        <v>100</v>
      </c>
      <c r="AN71" s="60" t="s">
        <v>100</v>
      </c>
      <c r="AO71" s="60" t="s">
        <v>100</v>
      </c>
      <c r="AP71" s="60" t="s">
        <v>100</v>
      </c>
      <c r="AQ71" s="60" t="s">
        <v>100</v>
      </c>
      <c r="AR71" s="60" t="s">
        <v>100</v>
      </c>
      <c r="AS71" s="60" t="s">
        <v>100</v>
      </c>
      <c r="AT71" s="60" t="s">
        <v>100</v>
      </c>
      <c r="AU71" s="60" t="s">
        <v>100</v>
      </c>
      <c r="AV71" s="60" t="s">
        <v>100</v>
      </c>
      <c r="AW71" s="60" t="s">
        <v>100</v>
      </c>
      <c r="AX71" s="60" t="s">
        <v>100</v>
      </c>
      <c r="AY71" s="60" t="s">
        <v>100</v>
      </c>
      <c r="AZ71" s="60" t="s">
        <v>100</v>
      </c>
    </row>
    <row r="72" spans="1:52" ht="15">
      <c r="A72" s="59" t="s">
        <v>157</v>
      </c>
      <c r="B72" s="58" t="s">
        <v>95</v>
      </c>
      <c r="C72" s="61" t="s">
        <v>100</v>
      </c>
      <c r="D72" s="61" t="s">
        <v>100</v>
      </c>
      <c r="E72" s="61" t="s">
        <v>100</v>
      </c>
      <c r="F72" s="61" t="s">
        <v>100</v>
      </c>
      <c r="G72" s="61" t="s">
        <v>100</v>
      </c>
      <c r="H72" s="61" t="s">
        <v>100</v>
      </c>
      <c r="I72" s="61" t="s">
        <v>100</v>
      </c>
      <c r="J72" s="61" t="s">
        <v>100</v>
      </c>
      <c r="K72" s="61" t="s">
        <v>100</v>
      </c>
      <c r="L72" s="61" t="s">
        <v>100</v>
      </c>
      <c r="M72" s="61" t="s">
        <v>100</v>
      </c>
      <c r="N72" s="61" t="s">
        <v>100</v>
      </c>
      <c r="O72" s="61" t="s">
        <v>100</v>
      </c>
      <c r="P72" s="61" t="s">
        <v>100</v>
      </c>
      <c r="Q72" s="61" t="s">
        <v>100</v>
      </c>
      <c r="R72" s="61" t="s">
        <v>100</v>
      </c>
      <c r="S72" s="61" t="s">
        <v>100</v>
      </c>
      <c r="T72" s="61" t="s">
        <v>100</v>
      </c>
      <c r="U72" s="61" t="s">
        <v>100</v>
      </c>
      <c r="V72" s="61" t="s">
        <v>100</v>
      </c>
      <c r="W72" s="61" t="s">
        <v>100</v>
      </c>
      <c r="X72" s="61" t="s">
        <v>100</v>
      </c>
      <c r="Y72" s="61" t="s">
        <v>100</v>
      </c>
      <c r="Z72" s="61" t="s">
        <v>100</v>
      </c>
      <c r="AA72" s="61" t="s">
        <v>100</v>
      </c>
      <c r="AB72" s="61" t="s">
        <v>100</v>
      </c>
      <c r="AC72" s="61" t="s">
        <v>100</v>
      </c>
      <c r="AD72" s="61" t="s">
        <v>100</v>
      </c>
      <c r="AE72" s="61" t="s">
        <v>100</v>
      </c>
      <c r="AF72" s="61" t="s">
        <v>100</v>
      </c>
      <c r="AG72" s="61" t="s">
        <v>100</v>
      </c>
      <c r="AH72" s="61" t="s">
        <v>100</v>
      </c>
      <c r="AI72" s="61" t="s">
        <v>100</v>
      </c>
      <c r="AJ72" s="61" t="s">
        <v>100</v>
      </c>
      <c r="AK72" s="61" t="s">
        <v>100</v>
      </c>
      <c r="AL72" s="61" t="s">
        <v>100</v>
      </c>
      <c r="AM72" s="61" t="s">
        <v>100</v>
      </c>
      <c r="AN72" s="61" t="s">
        <v>100</v>
      </c>
      <c r="AO72" s="61" t="s">
        <v>100</v>
      </c>
      <c r="AP72" s="61" t="s">
        <v>100</v>
      </c>
      <c r="AQ72" s="61" t="s">
        <v>100</v>
      </c>
      <c r="AR72" s="61" t="s">
        <v>100</v>
      </c>
      <c r="AS72" s="61" t="s">
        <v>100</v>
      </c>
      <c r="AT72" s="61" t="s">
        <v>100</v>
      </c>
      <c r="AU72" s="61" t="s">
        <v>100</v>
      </c>
      <c r="AV72" s="61" t="s">
        <v>100</v>
      </c>
      <c r="AW72" s="61" t="s">
        <v>100</v>
      </c>
      <c r="AX72" s="61" t="s">
        <v>100</v>
      </c>
      <c r="AY72" s="61" t="s">
        <v>100</v>
      </c>
      <c r="AZ72" s="61" t="s">
        <v>100</v>
      </c>
    </row>
    <row r="73" spans="1:52" ht="15">
      <c r="A73" s="59" t="s">
        <v>158</v>
      </c>
      <c r="B73" s="58" t="s">
        <v>95</v>
      </c>
      <c r="C73" s="60" t="s">
        <v>100</v>
      </c>
      <c r="D73" s="60" t="s">
        <v>100</v>
      </c>
      <c r="E73" s="60" t="s">
        <v>100</v>
      </c>
      <c r="F73" s="60" t="s">
        <v>100</v>
      </c>
      <c r="G73" s="60" t="s">
        <v>100</v>
      </c>
      <c r="H73" s="60" t="s">
        <v>100</v>
      </c>
      <c r="I73" s="60" t="s">
        <v>100</v>
      </c>
      <c r="J73" s="60" t="s">
        <v>100</v>
      </c>
      <c r="K73" s="60">
        <v>4.74</v>
      </c>
      <c r="L73" s="60">
        <v>2.82</v>
      </c>
      <c r="M73" s="60">
        <v>3.41</v>
      </c>
      <c r="N73" s="60">
        <v>3.21</v>
      </c>
      <c r="O73" s="60">
        <v>4.18</v>
      </c>
      <c r="P73" s="60">
        <v>5.01</v>
      </c>
      <c r="Q73" s="60">
        <v>4.63</v>
      </c>
      <c r="R73" s="60">
        <v>4.96</v>
      </c>
      <c r="S73" s="60">
        <v>0.74</v>
      </c>
      <c r="T73" s="60">
        <v>5.51</v>
      </c>
      <c r="U73" s="60">
        <v>6.16</v>
      </c>
      <c r="V73" s="60">
        <v>8.49</v>
      </c>
      <c r="W73" s="60">
        <v>6.3</v>
      </c>
      <c r="X73" s="60">
        <v>5.42</v>
      </c>
      <c r="Y73" s="60">
        <v>6.24</v>
      </c>
      <c r="Z73" s="60">
        <v>5.52</v>
      </c>
      <c r="AA73" s="60">
        <v>5.9</v>
      </c>
      <c r="AB73" s="60">
        <v>7.04</v>
      </c>
      <c r="AC73" s="60">
        <v>5.83</v>
      </c>
      <c r="AD73" s="60">
        <v>5.4</v>
      </c>
      <c r="AE73" s="60">
        <v>5.19</v>
      </c>
      <c r="AF73" s="60">
        <v>6.94</v>
      </c>
      <c r="AG73" s="60">
        <v>6.74</v>
      </c>
      <c r="AH73" s="60">
        <v>15.98</v>
      </c>
      <c r="AI73" s="60">
        <v>14.81</v>
      </c>
      <c r="AJ73" s="60">
        <v>18.12</v>
      </c>
      <c r="AK73" s="60">
        <v>17.21</v>
      </c>
      <c r="AL73" s="60">
        <v>13.26</v>
      </c>
      <c r="AM73" s="60">
        <v>18.32</v>
      </c>
      <c r="AN73" s="60">
        <v>16.8</v>
      </c>
      <c r="AO73" s="60">
        <v>13.95</v>
      </c>
      <c r="AP73" s="60">
        <v>10.78</v>
      </c>
      <c r="AQ73" s="60">
        <v>4.77</v>
      </c>
      <c r="AR73" s="60">
        <v>3.9</v>
      </c>
      <c r="AS73" s="60">
        <v>9.01</v>
      </c>
      <c r="AT73" s="60">
        <v>0.64</v>
      </c>
      <c r="AU73" s="60">
        <v>5.81</v>
      </c>
      <c r="AV73" s="60">
        <v>7.08</v>
      </c>
      <c r="AW73" s="60">
        <v>7.58</v>
      </c>
      <c r="AX73" s="60">
        <v>11.35</v>
      </c>
      <c r="AY73" s="60">
        <v>12.03</v>
      </c>
      <c r="AZ73" s="60">
        <v>19.24</v>
      </c>
    </row>
    <row r="74" spans="1:52" ht="15">
      <c r="A74" s="59" t="s">
        <v>159</v>
      </c>
      <c r="B74" s="58" t="s">
        <v>95</v>
      </c>
      <c r="C74" s="61" t="s">
        <v>100</v>
      </c>
      <c r="D74" s="61" t="s">
        <v>100</v>
      </c>
      <c r="E74" s="61" t="s">
        <v>100</v>
      </c>
      <c r="F74" s="61" t="s">
        <v>100</v>
      </c>
      <c r="G74" s="61" t="s">
        <v>100</v>
      </c>
      <c r="H74" s="61" t="s">
        <v>100</v>
      </c>
      <c r="I74" s="61" t="s">
        <v>100</v>
      </c>
      <c r="J74" s="61" t="s">
        <v>100</v>
      </c>
      <c r="K74" s="61" t="s">
        <v>100</v>
      </c>
      <c r="L74" s="61" t="s">
        <v>100</v>
      </c>
      <c r="M74" s="61" t="s">
        <v>100</v>
      </c>
      <c r="N74" s="61" t="s">
        <v>100</v>
      </c>
      <c r="O74" s="61" t="s">
        <v>100</v>
      </c>
      <c r="P74" s="61" t="s">
        <v>100</v>
      </c>
      <c r="Q74" s="61" t="s">
        <v>100</v>
      </c>
      <c r="R74" s="61" t="s">
        <v>100</v>
      </c>
      <c r="S74" s="61" t="s">
        <v>100</v>
      </c>
      <c r="T74" s="61" t="s">
        <v>100</v>
      </c>
      <c r="U74" s="61" t="s">
        <v>100</v>
      </c>
      <c r="V74" s="61" t="s">
        <v>100</v>
      </c>
      <c r="W74" s="61" t="s">
        <v>100</v>
      </c>
      <c r="X74" s="61" t="s">
        <v>100</v>
      </c>
      <c r="Y74" s="61" t="s">
        <v>100</v>
      </c>
      <c r="Z74" s="61" t="s">
        <v>100</v>
      </c>
      <c r="AA74" s="61" t="s">
        <v>100</v>
      </c>
      <c r="AB74" s="61" t="s">
        <v>100</v>
      </c>
      <c r="AC74" s="61" t="s">
        <v>100</v>
      </c>
      <c r="AD74" s="61" t="s">
        <v>100</v>
      </c>
      <c r="AE74" s="61" t="s">
        <v>100</v>
      </c>
      <c r="AF74" s="61" t="s">
        <v>100</v>
      </c>
      <c r="AG74" s="61" t="s">
        <v>100</v>
      </c>
      <c r="AH74" s="61" t="s">
        <v>100</v>
      </c>
      <c r="AI74" s="61" t="s">
        <v>100</v>
      </c>
      <c r="AJ74" s="61" t="s">
        <v>100</v>
      </c>
      <c r="AK74" s="61" t="s">
        <v>100</v>
      </c>
      <c r="AL74" s="61" t="s">
        <v>100</v>
      </c>
      <c r="AM74" s="61" t="s">
        <v>100</v>
      </c>
      <c r="AN74" s="61" t="s">
        <v>100</v>
      </c>
      <c r="AO74" s="61" t="s">
        <v>100</v>
      </c>
      <c r="AP74" s="61" t="s">
        <v>100</v>
      </c>
      <c r="AQ74" s="61" t="s">
        <v>100</v>
      </c>
      <c r="AR74" s="61" t="s">
        <v>100</v>
      </c>
      <c r="AS74" s="61" t="s">
        <v>100</v>
      </c>
      <c r="AT74" s="61" t="s">
        <v>100</v>
      </c>
      <c r="AU74" s="61" t="s">
        <v>100</v>
      </c>
      <c r="AV74" s="61" t="s">
        <v>100</v>
      </c>
      <c r="AW74" s="61" t="s">
        <v>100</v>
      </c>
      <c r="AX74" s="61" t="s">
        <v>100</v>
      </c>
      <c r="AY74" s="61" t="s">
        <v>100</v>
      </c>
      <c r="AZ74" s="61" t="s">
        <v>100</v>
      </c>
    </row>
    <row r="75" spans="1:52" ht="15">
      <c r="A75" s="59" t="s">
        <v>160</v>
      </c>
      <c r="B75" s="58" t="s">
        <v>95</v>
      </c>
      <c r="C75" s="60" t="s">
        <v>100</v>
      </c>
      <c r="D75" s="60" t="s">
        <v>100</v>
      </c>
      <c r="E75" s="60" t="s">
        <v>100</v>
      </c>
      <c r="F75" s="60" t="s">
        <v>100</v>
      </c>
      <c r="G75" s="60" t="s">
        <v>100</v>
      </c>
      <c r="H75" s="60" t="s">
        <v>100</v>
      </c>
      <c r="I75" s="60" t="s">
        <v>100</v>
      </c>
      <c r="J75" s="60" t="s">
        <v>100</v>
      </c>
      <c r="K75" s="60" t="s">
        <v>100</v>
      </c>
      <c r="L75" s="60" t="s">
        <v>100</v>
      </c>
      <c r="M75" s="60" t="s">
        <v>100</v>
      </c>
      <c r="N75" s="60" t="s">
        <v>100</v>
      </c>
      <c r="O75" s="60" t="s">
        <v>100</v>
      </c>
      <c r="P75" s="60" t="s">
        <v>100</v>
      </c>
      <c r="Q75" s="60" t="s">
        <v>100</v>
      </c>
      <c r="R75" s="60" t="s">
        <v>100</v>
      </c>
      <c r="S75" s="60" t="s">
        <v>100</v>
      </c>
      <c r="T75" s="60">
        <v>0.39</v>
      </c>
      <c r="U75" s="60" t="s">
        <v>100</v>
      </c>
      <c r="V75" s="60" t="s">
        <v>100</v>
      </c>
      <c r="W75" s="60">
        <v>0.7</v>
      </c>
      <c r="X75" s="60">
        <v>0.64</v>
      </c>
      <c r="Y75" s="60">
        <v>0.46</v>
      </c>
      <c r="Z75" s="60">
        <v>0.75</v>
      </c>
      <c r="AA75" s="60">
        <v>0.36</v>
      </c>
      <c r="AB75" s="60">
        <v>0.38</v>
      </c>
      <c r="AC75" s="60">
        <v>0.24</v>
      </c>
      <c r="AD75" s="60">
        <v>0.29</v>
      </c>
      <c r="AE75" s="60">
        <v>0.37</v>
      </c>
      <c r="AF75" s="60">
        <v>0.25</v>
      </c>
      <c r="AG75" s="60">
        <v>0.26</v>
      </c>
      <c r="AH75" s="60">
        <v>0.27</v>
      </c>
      <c r="AI75" s="60">
        <v>0.2</v>
      </c>
      <c r="AJ75" s="60">
        <v>0.19</v>
      </c>
      <c r="AK75" s="60">
        <v>0.01</v>
      </c>
      <c r="AL75" s="60">
        <v>0.01</v>
      </c>
      <c r="AM75" s="60" t="s">
        <v>100</v>
      </c>
      <c r="AN75" s="60">
        <v>0.01</v>
      </c>
      <c r="AO75" s="60">
        <v>0.34</v>
      </c>
      <c r="AP75" s="60">
        <v>0.51</v>
      </c>
      <c r="AQ75" s="60">
        <v>0.75</v>
      </c>
      <c r="AR75" s="60">
        <v>0.77</v>
      </c>
      <c r="AS75" s="60">
        <v>9.03</v>
      </c>
      <c r="AT75" s="60">
        <v>6.02</v>
      </c>
      <c r="AU75" s="60">
        <v>1.36</v>
      </c>
      <c r="AV75" s="60">
        <v>3.17</v>
      </c>
      <c r="AW75" s="60">
        <v>3.71</v>
      </c>
      <c r="AX75" s="60">
        <v>4.65</v>
      </c>
      <c r="AY75" s="60">
        <v>4.2</v>
      </c>
      <c r="AZ75" s="60">
        <v>5.04</v>
      </c>
    </row>
    <row r="76" spans="1:52" ht="15">
      <c r="A76" s="59" t="s">
        <v>161</v>
      </c>
      <c r="B76" s="58" t="s">
        <v>95</v>
      </c>
      <c r="C76" s="61" t="s">
        <v>100</v>
      </c>
      <c r="D76" s="61" t="s">
        <v>100</v>
      </c>
      <c r="E76" s="61" t="s">
        <v>100</v>
      </c>
      <c r="F76" s="61" t="s">
        <v>100</v>
      </c>
      <c r="G76" s="61" t="s">
        <v>100</v>
      </c>
      <c r="H76" s="61" t="s">
        <v>100</v>
      </c>
      <c r="I76" s="61" t="s">
        <v>100</v>
      </c>
      <c r="J76" s="61" t="s">
        <v>100</v>
      </c>
      <c r="K76" s="61" t="s">
        <v>100</v>
      </c>
      <c r="L76" s="61" t="s">
        <v>100</v>
      </c>
      <c r="M76" s="61" t="s">
        <v>100</v>
      </c>
      <c r="N76" s="61" t="s">
        <v>100</v>
      </c>
      <c r="O76" s="61" t="s">
        <v>100</v>
      </c>
      <c r="P76" s="61" t="s">
        <v>100</v>
      </c>
      <c r="Q76" s="61" t="s">
        <v>100</v>
      </c>
      <c r="R76" s="61" t="s">
        <v>100</v>
      </c>
      <c r="S76" s="61">
        <v>0.02</v>
      </c>
      <c r="T76" s="61" t="s">
        <v>100</v>
      </c>
      <c r="U76" s="61" t="s">
        <v>100</v>
      </c>
      <c r="V76" s="61" t="s">
        <v>100</v>
      </c>
      <c r="W76" s="61" t="s">
        <v>100</v>
      </c>
      <c r="X76" s="61" t="s">
        <v>100</v>
      </c>
      <c r="Y76" s="61" t="s">
        <v>100</v>
      </c>
      <c r="Z76" s="61" t="s">
        <v>100</v>
      </c>
      <c r="AA76" s="61" t="s">
        <v>100</v>
      </c>
      <c r="AB76" s="61">
        <v>0.01</v>
      </c>
      <c r="AC76" s="61">
        <v>0.01</v>
      </c>
      <c r="AD76" s="61" t="s">
        <v>100</v>
      </c>
      <c r="AE76" s="61">
        <v>0.1</v>
      </c>
      <c r="AF76" s="61">
        <v>3.85</v>
      </c>
      <c r="AG76" s="61">
        <v>0.9</v>
      </c>
      <c r="AH76" s="61">
        <v>1.06</v>
      </c>
      <c r="AI76" s="61">
        <v>11.07</v>
      </c>
      <c r="AJ76" s="61">
        <v>12.47</v>
      </c>
      <c r="AK76" s="61">
        <v>9.33</v>
      </c>
      <c r="AL76" s="61">
        <v>20.03</v>
      </c>
      <c r="AM76" s="61">
        <v>0.49</v>
      </c>
      <c r="AN76" s="61">
        <v>0.22</v>
      </c>
      <c r="AO76" s="61" t="s">
        <v>100</v>
      </c>
      <c r="AP76" s="61" t="s">
        <v>100</v>
      </c>
      <c r="AQ76" s="61">
        <v>5.77</v>
      </c>
      <c r="AR76" s="61">
        <v>6.38</v>
      </c>
      <c r="AS76" s="61">
        <v>6.47</v>
      </c>
      <c r="AT76" s="61">
        <v>0.23</v>
      </c>
      <c r="AU76" s="61">
        <v>45.61</v>
      </c>
      <c r="AV76" s="61">
        <v>9.12</v>
      </c>
      <c r="AW76" s="61">
        <v>7.49</v>
      </c>
      <c r="AX76" s="61">
        <v>1.72</v>
      </c>
      <c r="AY76" s="61">
        <v>2.04</v>
      </c>
      <c r="AZ76" s="61" t="s">
        <v>100</v>
      </c>
    </row>
    <row r="77" spans="1:52" ht="15">
      <c r="A77" s="62" t="s">
        <v>162</v>
      </c>
      <c r="B77" s="58" t="s">
        <v>95</v>
      </c>
      <c r="C77" s="60" t="s">
        <v>100</v>
      </c>
      <c r="D77" s="60" t="s">
        <v>100</v>
      </c>
      <c r="E77" s="60" t="s">
        <v>100</v>
      </c>
      <c r="F77" s="60" t="s">
        <v>100</v>
      </c>
      <c r="G77" s="60" t="s">
        <v>100</v>
      </c>
      <c r="H77" s="60" t="s">
        <v>100</v>
      </c>
      <c r="I77" s="60" t="s">
        <v>100</v>
      </c>
      <c r="J77" s="60" t="s">
        <v>100</v>
      </c>
      <c r="K77" s="60" t="s">
        <v>100</v>
      </c>
      <c r="L77" s="60">
        <v>0.59</v>
      </c>
      <c r="M77" s="60">
        <v>0.44</v>
      </c>
      <c r="N77" s="60">
        <v>0.76</v>
      </c>
      <c r="O77" s="60">
        <v>0.89</v>
      </c>
      <c r="P77" s="60">
        <v>1.34</v>
      </c>
      <c r="Q77" s="60">
        <v>0.93</v>
      </c>
      <c r="R77" s="60">
        <v>1.15</v>
      </c>
      <c r="S77" s="60">
        <v>1.2</v>
      </c>
      <c r="T77" s="60">
        <v>1.99</v>
      </c>
      <c r="U77" s="60">
        <v>3.04</v>
      </c>
      <c r="V77" s="60">
        <v>4.12</v>
      </c>
      <c r="W77" s="60">
        <v>3.28</v>
      </c>
      <c r="X77" s="60">
        <v>1.45</v>
      </c>
      <c r="Y77" s="60">
        <v>1.27</v>
      </c>
      <c r="Z77" s="60">
        <v>2.47</v>
      </c>
      <c r="AA77" s="60">
        <v>1.54</v>
      </c>
      <c r="AB77" s="60">
        <v>1.78</v>
      </c>
      <c r="AC77" s="60">
        <v>1.42</v>
      </c>
      <c r="AD77" s="60">
        <v>1.04</v>
      </c>
      <c r="AE77" s="60">
        <v>0.83</v>
      </c>
      <c r="AF77" s="60">
        <v>0.8</v>
      </c>
      <c r="AG77" s="60">
        <v>0.01</v>
      </c>
      <c r="AH77" s="60" t="s">
        <v>100</v>
      </c>
      <c r="AI77" s="60">
        <v>6.34</v>
      </c>
      <c r="AJ77" s="60">
        <v>11.2</v>
      </c>
      <c r="AK77" s="60">
        <v>8.41</v>
      </c>
      <c r="AL77" s="60">
        <v>12.12</v>
      </c>
      <c r="AM77" s="60">
        <v>8.97</v>
      </c>
      <c r="AN77" s="60">
        <v>5.86</v>
      </c>
      <c r="AO77" s="60">
        <v>5.01</v>
      </c>
      <c r="AP77" s="60">
        <v>5.83</v>
      </c>
      <c r="AQ77" s="60">
        <v>8.77</v>
      </c>
      <c r="AR77" s="60">
        <v>8.99</v>
      </c>
      <c r="AS77" s="60">
        <v>9.18</v>
      </c>
      <c r="AT77" s="60">
        <v>14.53</v>
      </c>
      <c r="AU77" s="60">
        <v>11.14</v>
      </c>
      <c r="AV77" s="60">
        <v>17.09</v>
      </c>
      <c r="AW77" s="60">
        <v>18.49</v>
      </c>
      <c r="AX77" s="60">
        <v>26.36</v>
      </c>
      <c r="AY77" s="60">
        <v>35.69</v>
      </c>
      <c r="AZ77" s="60">
        <v>39.54</v>
      </c>
    </row>
    <row r="78" spans="1:52" ht="15">
      <c r="A78" s="59" t="s">
        <v>163</v>
      </c>
      <c r="B78" s="58" t="s">
        <v>95</v>
      </c>
      <c r="C78" s="61" t="s">
        <v>100</v>
      </c>
      <c r="D78" s="61" t="s">
        <v>100</v>
      </c>
      <c r="E78" s="61" t="s">
        <v>100</v>
      </c>
      <c r="F78" s="61" t="s">
        <v>100</v>
      </c>
      <c r="G78" s="61" t="s">
        <v>100</v>
      </c>
      <c r="H78" s="61" t="s">
        <v>100</v>
      </c>
      <c r="I78" s="61" t="s">
        <v>100</v>
      </c>
      <c r="J78" s="61" t="s">
        <v>100</v>
      </c>
      <c r="K78" s="61" t="s">
        <v>100</v>
      </c>
      <c r="L78" s="61" t="s">
        <v>100</v>
      </c>
      <c r="M78" s="61" t="s">
        <v>100</v>
      </c>
      <c r="N78" s="61" t="s">
        <v>100</v>
      </c>
      <c r="O78" s="61" t="s">
        <v>100</v>
      </c>
      <c r="P78" s="61" t="s">
        <v>100</v>
      </c>
      <c r="Q78" s="61" t="s">
        <v>100</v>
      </c>
      <c r="R78" s="61" t="s">
        <v>100</v>
      </c>
      <c r="S78" s="61" t="s">
        <v>100</v>
      </c>
      <c r="T78" s="61" t="s">
        <v>100</v>
      </c>
      <c r="U78" s="61" t="s">
        <v>100</v>
      </c>
      <c r="V78" s="61" t="s">
        <v>100</v>
      </c>
      <c r="W78" s="61" t="s">
        <v>100</v>
      </c>
      <c r="X78" s="61" t="s">
        <v>100</v>
      </c>
      <c r="Y78" s="61" t="s">
        <v>100</v>
      </c>
      <c r="Z78" s="61" t="s">
        <v>100</v>
      </c>
      <c r="AA78" s="61" t="s">
        <v>100</v>
      </c>
      <c r="AB78" s="61" t="s">
        <v>100</v>
      </c>
      <c r="AC78" s="61" t="s">
        <v>100</v>
      </c>
      <c r="AD78" s="61" t="s">
        <v>100</v>
      </c>
      <c r="AE78" s="61" t="s">
        <v>100</v>
      </c>
      <c r="AF78" s="61" t="s">
        <v>100</v>
      </c>
      <c r="AG78" s="61" t="s">
        <v>100</v>
      </c>
      <c r="AH78" s="61" t="s">
        <v>100</v>
      </c>
      <c r="AI78" s="61" t="s">
        <v>100</v>
      </c>
      <c r="AJ78" s="61" t="s">
        <v>100</v>
      </c>
      <c r="AK78" s="61" t="s">
        <v>100</v>
      </c>
      <c r="AL78" s="61" t="s">
        <v>100</v>
      </c>
      <c r="AM78" s="61" t="s">
        <v>100</v>
      </c>
      <c r="AN78" s="61" t="s">
        <v>100</v>
      </c>
      <c r="AO78" s="61" t="s">
        <v>100</v>
      </c>
      <c r="AP78" s="61" t="s">
        <v>100</v>
      </c>
      <c r="AQ78" s="61" t="s">
        <v>100</v>
      </c>
      <c r="AR78" s="61" t="s">
        <v>100</v>
      </c>
      <c r="AS78" s="61" t="s">
        <v>100</v>
      </c>
      <c r="AT78" s="61" t="s">
        <v>100</v>
      </c>
      <c r="AU78" s="61" t="s">
        <v>100</v>
      </c>
      <c r="AV78" s="61" t="s">
        <v>100</v>
      </c>
      <c r="AW78" s="61" t="s">
        <v>100</v>
      </c>
      <c r="AX78" s="61" t="s">
        <v>100</v>
      </c>
      <c r="AY78" s="61" t="s">
        <v>100</v>
      </c>
      <c r="AZ78" s="61" t="s">
        <v>100</v>
      </c>
    </row>
    <row r="79" spans="1:52" ht="15">
      <c r="A79" s="62" t="s">
        <v>164</v>
      </c>
      <c r="B79" s="58" t="s">
        <v>95</v>
      </c>
      <c r="C79" s="60" t="s">
        <v>100</v>
      </c>
      <c r="D79" s="60" t="s">
        <v>100</v>
      </c>
      <c r="E79" s="60" t="s">
        <v>100</v>
      </c>
      <c r="F79" s="60" t="s">
        <v>100</v>
      </c>
      <c r="G79" s="60" t="s">
        <v>100</v>
      </c>
      <c r="H79" s="60" t="s">
        <v>100</v>
      </c>
      <c r="I79" s="60" t="s">
        <v>100</v>
      </c>
      <c r="J79" s="60" t="s">
        <v>100</v>
      </c>
      <c r="K79" s="60" t="s">
        <v>100</v>
      </c>
      <c r="L79" s="60">
        <v>0.87</v>
      </c>
      <c r="M79" s="60">
        <v>0.75</v>
      </c>
      <c r="N79" s="60">
        <v>0.94</v>
      </c>
      <c r="O79" s="60">
        <v>0.98</v>
      </c>
      <c r="P79" s="60">
        <v>0.95</v>
      </c>
      <c r="Q79" s="60">
        <v>1.04</v>
      </c>
      <c r="R79" s="60">
        <v>1.1</v>
      </c>
      <c r="S79" s="60">
        <v>1.45</v>
      </c>
      <c r="T79" s="60">
        <v>1.88</v>
      </c>
      <c r="U79" s="60">
        <v>2.08</v>
      </c>
      <c r="V79" s="60">
        <v>2.28</v>
      </c>
      <c r="W79" s="60">
        <v>0.12</v>
      </c>
      <c r="X79" s="60">
        <v>1.74</v>
      </c>
      <c r="Y79" s="60">
        <v>0.93</v>
      </c>
      <c r="Z79" s="60">
        <v>1.76</v>
      </c>
      <c r="AA79" s="60">
        <v>1.02</v>
      </c>
      <c r="AB79" s="60">
        <v>1.95</v>
      </c>
      <c r="AC79" s="60">
        <v>1.54</v>
      </c>
      <c r="AD79" s="60">
        <v>2.61</v>
      </c>
      <c r="AE79" s="60">
        <v>1.22</v>
      </c>
      <c r="AF79" s="60">
        <v>2.21</v>
      </c>
      <c r="AG79" s="60">
        <v>1.26</v>
      </c>
      <c r="AH79" s="60">
        <v>2.54</v>
      </c>
      <c r="AI79" s="60">
        <v>1.11</v>
      </c>
      <c r="AJ79" s="60">
        <v>2.78</v>
      </c>
      <c r="AK79" s="60">
        <v>1.79</v>
      </c>
      <c r="AL79" s="60">
        <v>5.5</v>
      </c>
      <c r="AM79" s="60">
        <v>2.37</v>
      </c>
      <c r="AN79" s="60">
        <v>4.11</v>
      </c>
      <c r="AO79" s="60">
        <v>2.35</v>
      </c>
      <c r="AP79" s="60">
        <v>3.83</v>
      </c>
      <c r="AQ79" s="60">
        <v>3.36</v>
      </c>
      <c r="AR79" s="60">
        <v>3.6</v>
      </c>
      <c r="AS79" s="60">
        <v>4.18</v>
      </c>
      <c r="AT79" s="60">
        <v>4.09</v>
      </c>
      <c r="AU79" s="60">
        <v>3.92</v>
      </c>
      <c r="AV79" s="60">
        <v>4.81</v>
      </c>
      <c r="AW79" s="60">
        <v>2.96</v>
      </c>
      <c r="AX79" s="60">
        <v>3.12</v>
      </c>
      <c r="AY79" s="60">
        <v>0.96</v>
      </c>
      <c r="AZ79" s="60">
        <v>0.96</v>
      </c>
    </row>
    <row r="80" spans="1:52" ht="15">
      <c r="A80" s="59" t="s">
        <v>165</v>
      </c>
      <c r="B80" s="58" t="s">
        <v>95</v>
      </c>
      <c r="C80" s="61" t="s">
        <v>100</v>
      </c>
      <c r="D80" s="61" t="s">
        <v>100</v>
      </c>
      <c r="E80" s="61" t="s">
        <v>100</v>
      </c>
      <c r="F80" s="61" t="s">
        <v>100</v>
      </c>
      <c r="G80" s="61" t="s">
        <v>100</v>
      </c>
      <c r="H80" s="61" t="s">
        <v>100</v>
      </c>
      <c r="I80" s="61" t="s">
        <v>100</v>
      </c>
      <c r="J80" s="61" t="s">
        <v>100</v>
      </c>
      <c r="K80" s="61" t="s">
        <v>100</v>
      </c>
      <c r="L80" s="61">
        <v>0.43</v>
      </c>
      <c r="M80" s="61">
        <v>1.49</v>
      </c>
      <c r="N80" s="61">
        <v>1.62</v>
      </c>
      <c r="O80" s="61">
        <v>3.82</v>
      </c>
      <c r="P80" s="61">
        <v>1.62</v>
      </c>
      <c r="Q80" s="61">
        <v>2.71</v>
      </c>
      <c r="R80" s="61">
        <v>6.16</v>
      </c>
      <c r="S80" s="61">
        <v>5.46</v>
      </c>
      <c r="T80" s="61">
        <v>7.9</v>
      </c>
      <c r="U80" s="61">
        <v>6.62</v>
      </c>
      <c r="V80" s="61">
        <v>16.73</v>
      </c>
      <c r="W80" s="61">
        <v>-1.46</v>
      </c>
      <c r="X80" s="61" t="s">
        <v>100</v>
      </c>
      <c r="Y80" s="61">
        <v>0.26</v>
      </c>
      <c r="Z80" s="61">
        <v>0.23</v>
      </c>
      <c r="AA80" s="61">
        <v>0.16</v>
      </c>
      <c r="AB80" s="61">
        <v>0.06</v>
      </c>
      <c r="AC80" s="61">
        <v>0.01</v>
      </c>
      <c r="AD80" s="61">
        <v>0.01</v>
      </c>
      <c r="AE80" s="61">
        <v>0.01</v>
      </c>
      <c r="AF80" s="61">
        <v>48.04</v>
      </c>
      <c r="AG80" s="61">
        <v>12.99</v>
      </c>
      <c r="AH80" s="61">
        <v>6.84</v>
      </c>
      <c r="AI80" s="61">
        <v>24.57</v>
      </c>
      <c r="AJ80" s="61">
        <v>39.53</v>
      </c>
      <c r="AK80" s="61">
        <v>24.59</v>
      </c>
      <c r="AL80" s="61">
        <v>30.95</v>
      </c>
      <c r="AM80" s="61">
        <v>16.57</v>
      </c>
      <c r="AN80" s="61">
        <v>24.31</v>
      </c>
      <c r="AO80" s="61">
        <v>0.16</v>
      </c>
      <c r="AP80" s="61">
        <v>2.44</v>
      </c>
      <c r="AQ80" s="61">
        <v>6.67</v>
      </c>
      <c r="AR80" s="61">
        <v>6.68</v>
      </c>
      <c r="AS80" s="61">
        <v>1.96</v>
      </c>
      <c r="AT80" s="61">
        <v>1.46</v>
      </c>
      <c r="AU80" s="61">
        <v>-2.22</v>
      </c>
      <c r="AV80" s="61" t="s">
        <v>100</v>
      </c>
      <c r="AW80" s="61">
        <v>1.5</v>
      </c>
      <c r="AX80" s="61">
        <v>0.41</v>
      </c>
      <c r="AY80" s="61">
        <v>4.46</v>
      </c>
      <c r="AZ80" s="61">
        <v>2.6</v>
      </c>
    </row>
    <row r="81" spans="1:52" ht="15">
      <c r="A81" s="62" t="s">
        <v>166</v>
      </c>
      <c r="B81" s="58" t="s">
        <v>95</v>
      </c>
      <c r="C81" s="60" t="s">
        <v>100</v>
      </c>
      <c r="D81" s="60" t="s">
        <v>100</v>
      </c>
      <c r="E81" s="60" t="s">
        <v>100</v>
      </c>
      <c r="F81" s="60" t="s">
        <v>100</v>
      </c>
      <c r="G81" s="60" t="s">
        <v>100</v>
      </c>
      <c r="H81" s="60" t="s">
        <v>100</v>
      </c>
      <c r="I81" s="60" t="s">
        <v>100</v>
      </c>
      <c r="J81" s="60" t="s">
        <v>100</v>
      </c>
      <c r="K81" s="60" t="s">
        <v>100</v>
      </c>
      <c r="L81" s="60" t="s">
        <v>100</v>
      </c>
      <c r="M81" s="60" t="s">
        <v>100</v>
      </c>
      <c r="N81" s="60" t="s">
        <v>100</v>
      </c>
      <c r="O81" s="60" t="s">
        <v>100</v>
      </c>
      <c r="P81" s="60" t="s">
        <v>100</v>
      </c>
      <c r="Q81" s="60" t="s">
        <v>100</v>
      </c>
      <c r="R81" s="60" t="s">
        <v>100</v>
      </c>
      <c r="S81" s="60" t="s">
        <v>100</v>
      </c>
      <c r="T81" s="60" t="s">
        <v>100</v>
      </c>
      <c r="U81" s="60" t="s">
        <v>100</v>
      </c>
      <c r="V81" s="60" t="s">
        <v>100</v>
      </c>
      <c r="W81" s="60" t="s">
        <v>100</v>
      </c>
      <c r="X81" s="60" t="s">
        <v>100</v>
      </c>
      <c r="Y81" s="60" t="s">
        <v>100</v>
      </c>
      <c r="Z81" s="60" t="s">
        <v>100</v>
      </c>
      <c r="AA81" s="60" t="s">
        <v>100</v>
      </c>
      <c r="AB81" s="60" t="s">
        <v>100</v>
      </c>
      <c r="AC81" s="60" t="s">
        <v>100</v>
      </c>
      <c r="AD81" s="60" t="s">
        <v>100</v>
      </c>
      <c r="AE81" s="60" t="s">
        <v>100</v>
      </c>
      <c r="AF81" s="60" t="s">
        <v>100</v>
      </c>
      <c r="AG81" s="60" t="s">
        <v>100</v>
      </c>
      <c r="AH81" s="60" t="s">
        <v>100</v>
      </c>
      <c r="AI81" s="60" t="s">
        <v>100</v>
      </c>
      <c r="AJ81" s="60" t="s">
        <v>100</v>
      </c>
      <c r="AK81" s="60" t="s">
        <v>100</v>
      </c>
      <c r="AL81" s="60" t="s">
        <v>100</v>
      </c>
      <c r="AM81" s="60" t="s">
        <v>100</v>
      </c>
      <c r="AN81" s="60" t="s">
        <v>100</v>
      </c>
      <c r="AO81" s="60" t="s">
        <v>100</v>
      </c>
      <c r="AP81" s="60" t="s">
        <v>100</v>
      </c>
      <c r="AQ81" s="60" t="s">
        <v>100</v>
      </c>
      <c r="AR81" s="60" t="s">
        <v>100</v>
      </c>
      <c r="AS81" s="60" t="s">
        <v>100</v>
      </c>
      <c r="AT81" s="60" t="s">
        <v>100</v>
      </c>
      <c r="AU81" s="60" t="s">
        <v>100</v>
      </c>
      <c r="AV81" s="60" t="s">
        <v>100</v>
      </c>
      <c r="AW81" s="60" t="s">
        <v>100</v>
      </c>
      <c r="AX81" s="60" t="s">
        <v>100</v>
      </c>
      <c r="AY81" s="60" t="s">
        <v>100</v>
      </c>
      <c r="AZ81" s="60" t="s">
        <v>100</v>
      </c>
    </row>
    <row r="82" spans="1:52" ht="15">
      <c r="A82" s="59" t="s">
        <v>167</v>
      </c>
      <c r="B82" s="58" t="s">
        <v>95</v>
      </c>
      <c r="C82" s="61" t="s">
        <v>100</v>
      </c>
      <c r="D82" s="61" t="s">
        <v>100</v>
      </c>
      <c r="E82" s="61" t="s">
        <v>100</v>
      </c>
      <c r="F82" s="61" t="s">
        <v>100</v>
      </c>
      <c r="G82" s="61" t="s">
        <v>100</v>
      </c>
      <c r="H82" s="61" t="s">
        <v>100</v>
      </c>
      <c r="I82" s="61" t="s">
        <v>100</v>
      </c>
      <c r="J82" s="61" t="s">
        <v>100</v>
      </c>
      <c r="K82" s="61" t="s">
        <v>100</v>
      </c>
      <c r="L82" s="61" t="s">
        <v>100</v>
      </c>
      <c r="M82" s="61" t="s">
        <v>100</v>
      </c>
      <c r="N82" s="61" t="s">
        <v>100</v>
      </c>
      <c r="O82" s="61" t="s">
        <v>100</v>
      </c>
      <c r="P82" s="61" t="s">
        <v>100</v>
      </c>
      <c r="Q82" s="61" t="s">
        <v>100</v>
      </c>
      <c r="R82" s="61" t="s">
        <v>100</v>
      </c>
      <c r="S82" s="61" t="s">
        <v>100</v>
      </c>
      <c r="T82" s="61" t="s">
        <v>100</v>
      </c>
      <c r="U82" s="61" t="s">
        <v>100</v>
      </c>
      <c r="V82" s="61" t="s">
        <v>100</v>
      </c>
      <c r="W82" s="61" t="s">
        <v>100</v>
      </c>
      <c r="X82" s="61" t="s">
        <v>100</v>
      </c>
      <c r="Y82" s="61" t="s">
        <v>100</v>
      </c>
      <c r="Z82" s="61" t="s">
        <v>100</v>
      </c>
      <c r="AA82" s="61" t="s">
        <v>100</v>
      </c>
      <c r="AB82" s="61" t="s">
        <v>100</v>
      </c>
      <c r="AC82" s="61" t="s">
        <v>100</v>
      </c>
      <c r="AD82" s="61" t="s">
        <v>100</v>
      </c>
      <c r="AE82" s="61" t="s">
        <v>100</v>
      </c>
      <c r="AF82" s="61" t="s">
        <v>100</v>
      </c>
      <c r="AG82" s="61" t="s">
        <v>100</v>
      </c>
      <c r="AH82" s="61" t="s">
        <v>100</v>
      </c>
      <c r="AI82" s="61" t="s">
        <v>100</v>
      </c>
      <c r="AJ82" s="61" t="s">
        <v>100</v>
      </c>
      <c r="AK82" s="61" t="s">
        <v>100</v>
      </c>
      <c r="AL82" s="61" t="s">
        <v>100</v>
      </c>
      <c r="AM82" s="61" t="s">
        <v>100</v>
      </c>
      <c r="AN82" s="61" t="s">
        <v>100</v>
      </c>
      <c r="AO82" s="61" t="s">
        <v>100</v>
      </c>
      <c r="AP82" s="61" t="s">
        <v>100</v>
      </c>
      <c r="AQ82" s="61" t="s">
        <v>100</v>
      </c>
      <c r="AR82" s="61" t="s">
        <v>100</v>
      </c>
      <c r="AS82" s="61" t="s">
        <v>100</v>
      </c>
      <c r="AT82" s="61" t="s">
        <v>100</v>
      </c>
      <c r="AU82" s="61" t="s">
        <v>100</v>
      </c>
      <c r="AV82" s="61" t="s">
        <v>100</v>
      </c>
      <c r="AW82" s="61" t="s">
        <v>100</v>
      </c>
      <c r="AX82" s="61" t="s">
        <v>100</v>
      </c>
      <c r="AY82" s="61" t="s">
        <v>100</v>
      </c>
      <c r="AZ82" s="61" t="s">
        <v>100</v>
      </c>
    </row>
    <row r="83" ht="15">
      <c r="A83" s="63" t="s">
        <v>168</v>
      </c>
    </row>
    <row r="84" ht="15">
      <c r="A84" s="63"/>
    </row>
    <row r="85" spans="46:53" ht="15">
      <c r="AT85" s="55" t="s">
        <v>86</v>
      </c>
      <c r="AU85" s="55" t="s">
        <v>87</v>
      </c>
      <c r="AV85" s="55" t="s">
        <v>88</v>
      </c>
      <c r="AW85" s="56" t="s">
        <v>89</v>
      </c>
      <c r="AX85" s="55" t="s">
        <v>90</v>
      </c>
      <c r="AY85" s="55" t="s">
        <v>91</v>
      </c>
      <c r="AZ85" s="55" t="s">
        <v>92</v>
      </c>
      <c r="BA85" s="55" t="s">
        <v>93</v>
      </c>
    </row>
    <row r="86" spans="45:53" ht="15">
      <c r="AS86" t="s">
        <v>169</v>
      </c>
      <c r="AT86">
        <f aca="true" t="shared" si="0" ref="AT86:BA86">(AS10)/1000</f>
        <v>0.9877</v>
      </c>
      <c r="AU86">
        <f t="shared" si="0"/>
        <v>1.22079</v>
      </c>
      <c r="AV86">
        <f t="shared" si="0"/>
        <v>1.7226</v>
      </c>
      <c r="AW86">
        <f t="shared" si="0"/>
        <v>2.17535</v>
      </c>
      <c r="AX86">
        <f t="shared" si="0"/>
        <v>2.40672</v>
      </c>
      <c r="AY86">
        <f t="shared" si="0"/>
        <v>2.9376100000000003</v>
      </c>
      <c r="AZ86">
        <f t="shared" si="0"/>
        <v>3.9495500000000003</v>
      </c>
      <c r="BA86">
        <f t="shared" si="0"/>
        <v>4.9238800000000005</v>
      </c>
    </row>
    <row r="87" spans="45:53" ht="15">
      <c r="AS87" s="64" t="s">
        <v>170</v>
      </c>
      <c r="AT87" s="64">
        <f aca="true" t="shared" si="1" ref="AT87:BA87">AT86-SUM(AT88:AT92)</f>
        <v>0.33221</v>
      </c>
      <c r="AU87" s="64">
        <f t="shared" si="1"/>
        <v>0.34674000000000005</v>
      </c>
      <c r="AV87" s="64">
        <f t="shared" si="1"/>
        <v>0.41640999999999995</v>
      </c>
      <c r="AW87" s="64">
        <f t="shared" si="1"/>
        <v>0.37738000000000005</v>
      </c>
      <c r="AX87" s="64">
        <f t="shared" si="1"/>
        <v>0.39083999999999985</v>
      </c>
      <c r="AY87" s="64">
        <f t="shared" si="1"/>
        <v>0.5487600000000001</v>
      </c>
      <c r="AZ87" s="64">
        <f t="shared" si="1"/>
        <v>0.81101</v>
      </c>
      <c r="BA87" s="64">
        <f t="shared" si="1"/>
        <v>0.8791000000000002</v>
      </c>
    </row>
    <row r="88" spans="45:53" ht="21">
      <c r="AS88" s="65" t="s">
        <v>125</v>
      </c>
      <c r="AT88" s="64">
        <f aca="true" t="shared" si="2" ref="AT88:BA88">(AS37)/1000</f>
        <v>0.36761</v>
      </c>
      <c r="AU88" s="64">
        <f t="shared" si="2"/>
        <v>0.48579</v>
      </c>
      <c r="AV88" s="64">
        <f t="shared" si="2"/>
        <v>0.7782899999999999</v>
      </c>
      <c r="AW88" s="64">
        <f t="shared" si="2"/>
        <v>1.3183</v>
      </c>
      <c r="AX88" s="64">
        <f t="shared" si="2"/>
        <v>1.40371</v>
      </c>
      <c r="AY88" s="64">
        <f t="shared" si="2"/>
        <v>1.4861199999999999</v>
      </c>
      <c r="AZ88" s="64">
        <f t="shared" si="2"/>
        <v>2.10632</v>
      </c>
      <c r="BA88" s="64">
        <f t="shared" si="2"/>
        <v>2.97993</v>
      </c>
    </row>
    <row r="89" spans="45:56" ht="21">
      <c r="AS89" s="65" t="s">
        <v>124</v>
      </c>
      <c r="AT89" s="64">
        <f aca="true" t="shared" si="3" ref="AT89:BA89">(AS36)/1000</f>
        <v>0.1308</v>
      </c>
      <c r="AU89" s="64">
        <f t="shared" si="3"/>
        <v>0.09861</v>
      </c>
      <c r="AV89" s="64">
        <f t="shared" si="3"/>
        <v>0.22401</v>
      </c>
      <c r="AW89" s="64">
        <f t="shared" si="3"/>
        <v>0.21991999999999998</v>
      </c>
      <c r="AX89" s="64">
        <f t="shared" si="3"/>
        <v>0.24649000000000001</v>
      </c>
      <c r="AY89" s="64">
        <f t="shared" si="3"/>
        <v>0.26871</v>
      </c>
      <c r="AZ89" s="64">
        <f t="shared" si="3"/>
        <v>0.32231</v>
      </c>
      <c r="BA89" s="64">
        <f t="shared" si="3"/>
        <v>0.32439</v>
      </c>
      <c r="BD89">
        <v>1000</v>
      </c>
    </row>
    <row r="90" spans="45:53" ht="15">
      <c r="AS90" s="65" t="s">
        <v>110</v>
      </c>
      <c r="AT90" s="64">
        <f aca="true" t="shared" si="4" ref="AT90:BA90">(AS22)/1000</f>
        <v>0.08957</v>
      </c>
      <c r="AU90" s="64">
        <f t="shared" si="4"/>
        <v>0.08209999999999999</v>
      </c>
      <c r="AV90" s="64">
        <f t="shared" si="4"/>
        <v>0.07513</v>
      </c>
      <c r="AW90" s="64">
        <f t="shared" si="4"/>
        <v>0.09923</v>
      </c>
      <c r="AX90" s="64">
        <f t="shared" si="4"/>
        <v>0.11799</v>
      </c>
      <c r="AY90" s="64">
        <f t="shared" si="4"/>
        <v>0.18762</v>
      </c>
      <c r="AZ90" s="64">
        <f t="shared" si="4"/>
        <v>0.29402</v>
      </c>
      <c r="BA90" s="64">
        <f t="shared" si="4"/>
        <v>0.33734</v>
      </c>
    </row>
    <row r="91" spans="45:53" ht="15">
      <c r="AS91" s="65" t="s">
        <v>106</v>
      </c>
      <c r="AT91" s="64">
        <f aca="true" t="shared" si="5" ref="AT91:BA91">(AS18)/1000</f>
        <v>0.03581</v>
      </c>
      <c r="AU91" s="64">
        <f t="shared" si="5"/>
        <v>0.07313</v>
      </c>
      <c r="AV91" s="64">
        <f t="shared" si="5"/>
        <v>0.056240000000000005</v>
      </c>
      <c r="AW91" s="64">
        <f t="shared" si="5"/>
        <v>0.08947</v>
      </c>
      <c r="AX91" s="64">
        <f t="shared" si="5"/>
        <v>0.14027</v>
      </c>
      <c r="AY91" s="64">
        <f t="shared" si="5"/>
        <v>0.34539</v>
      </c>
      <c r="AZ91" s="64">
        <f t="shared" si="5"/>
        <v>0.20786000000000002</v>
      </c>
      <c r="BA91" s="64">
        <f t="shared" si="5"/>
        <v>0.23258</v>
      </c>
    </row>
    <row r="92" spans="45:53" ht="15">
      <c r="AS92" s="65" t="s">
        <v>114</v>
      </c>
      <c r="AT92" s="64">
        <f aca="true" t="shared" si="6" ref="AT92:BA92">(AS26)/1000</f>
        <v>0.0317</v>
      </c>
      <c r="AU92" s="64">
        <f t="shared" si="6"/>
        <v>0.13441999999999998</v>
      </c>
      <c r="AV92" s="64">
        <f t="shared" si="6"/>
        <v>0.17252</v>
      </c>
      <c r="AW92" s="64">
        <f t="shared" si="6"/>
        <v>0.07105</v>
      </c>
      <c r="AX92" s="64">
        <f t="shared" si="6"/>
        <v>0.10742</v>
      </c>
      <c r="AY92" s="64">
        <f t="shared" si="6"/>
        <v>0.10101</v>
      </c>
      <c r="AZ92" s="64">
        <f t="shared" si="6"/>
        <v>0.20803</v>
      </c>
      <c r="BA92" s="64">
        <f t="shared" si="6"/>
        <v>0.17054</v>
      </c>
    </row>
    <row r="93" spans="45:53" ht="31.5">
      <c r="AS93" s="66" t="s">
        <v>233</v>
      </c>
      <c r="AT93" s="64">
        <f aca="true" t="shared" si="7" ref="AT93:BA93">(AS38)/1000</f>
        <v>0.14372</v>
      </c>
      <c r="AU93" s="64">
        <f t="shared" si="7"/>
        <v>0.20803</v>
      </c>
      <c r="AV93" s="64">
        <f t="shared" si="7"/>
        <v>0.212</v>
      </c>
      <c r="AW93" s="64">
        <f t="shared" si="7"/>
        <v>0.25662</v>
      </c>
      <c r="AX93" s="64">
        <f t="shared" si="7"/>
        <v>0.2209</v>
      </c>
      <c r="AY93" s="64">
        <f t="shared" si="7"/>
        <v>0.30745999999999996</v>
      </c>
      <c r="AZ93" s="64">
        <f t="shared" si="7"/>
        <v>0.34931</v>
      </c>
      <c r="BA93" s="64">
        <f t="shared" si="7"/>
        <v>0.39536</v>
      </c>
    </row>
    <row r="111" ht="15">
      <c r="AS111" s="288" t="s">
        <v>511</v>
      </c>
    </row>
    <row r="112" ht="15">
      <c r="AS112" s="288" t="s">
        <v>461</v>
      </c>
    </row>
  </sheetData>
  <sheetProtection/>
  <mergeCells count="9">
    <mergeCell ref="A6:B6"/>
    <mergeCell ref="C6:AZ6"/>
    <mergeCell ref="A7:B7"/>
    <mergeCell ref="A3:B3"/>
    <mergeCell ref="C3:AZ3"/>
    <mergeCell ref="A4:B4"/>
    <mergeCell ref="C4:AZ4"/>
    <mergeCell ref="A5:B5"/>
    <mergeCell ref="C5:AZ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AV7" r:id="rId2" tooltip="Click once to display linked information. Click and hold to select this cell." display="http://stats.oecd.org/OECDStat_Metadata/ShowMetadata.ashx?Dataset=TABLE2A&amp;Coords=[TIME].[2005]&amp;ShowOnWeb=true&amp;Lang=en"/>
    <hyperlink ref="A38" r:id="rId3" tooltip="Click once to display linked information. Click and hold to select this cell." display="http://stats.oecd.org/OECDStat_Metadata/ShowMetadata.ashx?Dataset=TABLE2A&amp;Coords=[DONOR].[918]&amp;ShowOnWeb=true&amp;Lang=en"/>
    <hyperlink ref="A59" r:id="rId4" tooltip="Click once to display linked information. Click and hold to select this cell." display="http://stats.oecd.org/OECDStat_Metadata/ShowMetadata.ashx?Dataset=TABLE2A&amp;Coords=[DONOR].[811]&amp;ShowOnWeb=true&amp;Lang=en"/>
    <hyperlink ref="A77" r:id="rId5" tooltip="Click once to display linked information. Click and hold to select this cell." display="http://stats.oecd.org/OECDStat_Metadata/ShowMetadata.ashx?Dataset=TABLE2A&amp;Coords=[DONOR].[963]&amp;ShowOnWeb=true&amp;Lang=en"/>
    <hyperlink ref="A79" r:id="rId6" tooltip="Click once to display linked information. Click and hold to select this cell." display="http://stats.oecd.org/OECDStat_Metadata/ShowMetadata.ashx?Dataset=TABLE2A&amp;Coords=[DONOR].[960]&amp;ShowOnWeb=true&amp;Lang=en"/>
    <hyperlink ref="A81" r:id="rId7" tooltip="Click once to display linked information. Click and hold to select this cell." display="http://stats.oecd.org/OECDStat_Metadata/ShowMetadata.ashx?Dataset=TABLE2A&amp;Coords=[DONOR].[928]&amp;ShowOnWeb=true&amp;Lang=en"/>
    <hyperlink ref="A83" r:id="rId8" tooltip="Click once to display linked information. Click and hold to select this cell." display="http://stats.oecd.org/WBOS/index.aspx"/>
    <hyperlink ref="AS93" r:id="rId9" tooltip="Click once to display linked information. Click and hold to select this cell." display="http://stats.oecd.org/OECDStat_Metadata/ShowMetadata.ashx?Dataset=TABLE2A&amp;Coords=[DONOR].[918]&amp;ShowOnWeb=true&amp;Lang=en"/>
    <hyperlink ref="AW85" r:id="rId10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7">
      <selection activeCell="C57" sqref="C57"/>
    </sheetView>
  </sheetViews>
  <sheetFormatPr defaultColWidth="9.140625" defaultRowHeight="15"/>
  <cols>
    <col min="2" max="2" width="38.8515625" style="0" customWidth="1"/>
  </cols>
  <sheetData>
    <row r="1" spans="1:14" ht="45.75" thickBot="1">
      <c r="A1" s="41" t="s">
        <v>25</v>
      </c>
      <c r="B1" s="41"/>
      <c r="C1" s="41">
        <v>2001</v>
      </c>
      <c r="D1" s="41">
        <v>2002</v>
      </c>
      <c r="E1" s="41">
        <v>2003</v>
      </c>
      <c r="F1" s="41">
        <v>2004</v>
      </c>
      <c r="G1" s="41">
        <v>2005</v>
      </c>
      <c r="H1" s="41">
        <v>2006</v>
      </c>
      <c r="I1" s="41">
        <v>2007</v>
      </c>
      <c r="J1" s="41">
        <v>2008</v>
      </c>
      <c r="K1" s="41">
        <v>2009</v>
      </c>
      <c r="L1" s="41">
        <v>2010</v>
      </c>
      <c r="M1" s="45" t="s">
        <v>24</v>
      </c>
      <c r="N1" s="45" t="s">
        <v>26</v>
      </c>
    </row>
    <row r="2" spans="1:14" ht="15">
      <c r="A2" s="336" t="s">
        <v>27</v>
      </c>
      <c r="B2" s="46" t="s">
        <v>28</v>
      </c>
      <c r="C2" s="47"/>
      <c r="D2" s="47"/>
      <c r="E2" s="47">
        <v>0.5</v>
      </c>
      <c r="F2" s="47"/>
      <c r="G2" s="47"/>
      <c r="H2" s="47"/>
      <c r="I2" s="47"/>
      <c r="J2" s="47"/>
      <c r="K2" s="47"/>
      <c r="L2" s="47"/>
      <c r="M2" s="48">
        <f aca="true" t="shared" si="0" ref="M2:M16">SUM(C2:L2)</f>
        <v>0.5</v>
      </c>
      <c r="N2" s="48">
        <f aca="true" t="shared" si="1" ref="N2:N16">M2-L2</f>
        <v>0.5</v>
      </c>
    </row>
    <row r="3" spans="1:14" ht="15" customHeight="1">
      <c r="A3" s="337"/>
      <c r="B3" s="46" t="str">
        <f>'[4]DADs'!A29</f>
        <v>Brunei Darussalam</v>
      </c>
      <c r="C3" s="47">
        <f>'[4]DADs'!B29</f>
        <v>0.32661975</v>
      </c>
      <c r="D3" s="47">
        <f>'[4]DADs'!C29</f>
        <v>0.10887325</v>
      </c>
      <c r="E3" s="47">
        <f>'[4]DADs'!D29</f>
        <v>0</v>
      </c>
      <c r="F3" s="47">
        <f>'[4]DADs'!E29</f>
        <v>0</v>
      </c>
      <c r="G3" s="47">
        <f>'[4]DADs'!F29</f>
        <v>0</v>
      </c>
      <c r="H3" s="47">
        <f>'[4]DADs'!G29</f>
        <v>0</v>
      </c>
      <c r="I3" s="47">
        <f>'[4]DADs'!H29</f>
        <v>0</v>
      </c>
      <c r="J3" s="47">
        <f>'[4]DADs'!I29</f>
        <v>0</v>
      </c>
      <c r="K3" s="47">
        <f>'[4]DADs'!J29</f>
        <v>0</v>
      </c>
      <c r="L3" s="47">
        <f>'[4]DADs'!K29</f>
        <v>0</v>
      </c>
      <c r="M3" s="48">
        <f t="shared" si="0"/>
        <v>0.435493</v>
      </c>
      <c r="N3" s="48">
        <f t="shared" si="1"/>
        <v>0.435493</v>
      </c>
    </row>
    <row r="4" spans="1:14" ht="15">
      <c r="A4" s="337"/>
      <c r="B4" s="49" t="str">
        <f>'[4]DADs'!A30</f>
        <v>China</v>
      </c>
      <c r="C4" s="48">
        <f>'[4]DADs'!B30</f>
        <v>19.5</v>
      </c>
      <c r="D4" s="48">
        <f>'[4]DADs'!C30</f>
        <v>6.5</v>
      </c>
      <c r="E4" s="48">
        <f>'[4]DADs'!D30</f>
        <v>0</v>
      </c>
      <c r="F4" s="48">
        <f>'[4]DADs'!E30</f>
        <v>8.0625</v>
      </c>
      <c r="G4" s="48">
        <f>'[4]DADs'!F30</f>
        <v>2.6875</v>
      </c>
      <c r="H4" s="48">
        <f>'[4]DADs'!G30</f>
        <v>3.24</v>
      </c>
      <c r="I4" s="48">
        <f>'[4]DADs'!H30</f>
        <v>9.825000000000001</v>
      </c>
      <c r="J4" s="48">
        <f>'[4]DADs'!I30</f>
        <v>7.0175</v>
      </c>
      <c r="K4" s="48">
        <f>'[4]DADs'!J30</f>
        <v>1.3675</v>
      </c>
      <c r="L4" s="48">
        <f>'[4]DADs'!K30</f>
        <v>0</v>
      </c>
      <c r="M4" s="48">
        <f t="shared" si="0"/>
        <v>58.2</v>
      </c>
      <c r="N4" s="48">
        <f t="shared" si="1"/>
        <v>58.2</v>
      </c>
    </row>
    <row r="5" spans="1:14" ht="15">
      <c r="A5" s="337"/>
      <c r="B5" s="49" t="str">
        <f>'[4]DADs'!A35</f>
        <v>Iran</v>
      </c>
      <c r="C5" s="48">
        <f>'[4]DADs'!B35</f>
        <v>0</v>
      </c>
      <c r="D5" s="48">
        <f>'[4]DADs'!C35</f>
        <v>35.433749999999996</v>
      </c>
      <c r="E5" s="48">
        <f>'[4]DADs'!D35+0.99</f>
        <v>67.387</v>
      </c>
      <c r="F5" s="48">
        <f>'[4]DADs'!E35</f>
        <v>53.22775</v>
      </c>
      <c r="G5" s="48">
        <f>'[4]DADs'!F35</f>
        <v>50.126250000000006</v>
      </c>
      <c r="H5" s="48">
        <f>'[4]DADs'!G35</f>
        <v>52.08624999999999</v>
      </c>
      <c r="I5" s="48">
        <f>'[4]DADs'!H35</f>
        <v>42.0625</v>
      </c>
      <c r="J5" s="48">
        <f>'[4]DADs'!I35</f>
        <v>32.9075</v>
      </c>
      <c r="K5" s="48">
        <f>'[4]DADs'!J35</f>
        <v>7.75</v>
      </c>
      <c r="L5" s="48">
        <f>'[4]DADs'!K35</f>
        <v>0</v>
      </c>
      <c r="M5" s="48">
        <f t="shared" si="0"/>
        <v>340.981</v>
      </c>
      <c r="N5" s="48">
        <f t="shared" si="1"/>
        <v>340.981</v>
      </c>
    </row>
    <row r="6" spans="1:14" ht="15">
      <c r="A6" s="337"/>
      <c r="B6" s="49" t="s">
        <v>0</v>
      </c>
      <c r="C6" s="48">
        <f>'[4]DADs'!B34</f>
        <v>1.59</v>
      </c>
      <c r="D6" s="48">
        <f>'[4]DADs'!C34+0.2</f>
        <v>15.58</v>
      </c>
      <c r="E6" s="48">
        <f>'[4]DADs'!D34+0.2</f>
        <v>50.22250025</v>
      </c>
      <c r="F6" s="48">
        <f>'[4]DADs'!E34</f>
        <v>23.554166875</v>
      </c>
      <c r="G6" s="48">
        <f>'[4]DADs'!F34+0.4</f>
        <v>98.65708350000001</v>
      </c>
      <c r="H6" s="48">
        <f>'[4]DADs'!G34+0.2</f>
        <v>43.8570835</v>
      </c>
      <c r="I6" s="48">
        <f>'[4]DADs'!H34+0.2</f>
        <v>30.508333499999996</v>
      </c>
      <c r="J6" s="48">
        <f>'[4]DADs'!I34+0.19</f>
        <v>124.138333375</v>
      </c>
      <c r="K6" s="48">
        <f>'[4]DADs'!J34+0.2</f>
        <v>45.640223250000005</v>
      </c>
      <c r="L6" s="48">
        <f>'[4]DADs'!K34</f>
        <v>2.35090775</v>
      </c>
      <c r="M6" s="48">
        <f t="shared" si="0"/>
        <v>436.098632</v>
      </c>
      <c r="N6" s="48">
        <f t="shared" si="1"/>
        <v>433.74772425000003</v>
      </c>
    </row>
    <row r="7" spans="1:14" ht="15">
      <c r="A7" s="337"/>
      <c r="B7" s="49" t="str">
        <f>'[4]DADs'!A36</f>
        <v>Kuwait</v>
      </c>
      <c r="C7" s="48">
        <f>'[4]DADs'!B36</f>
        <v>2.9925</v>
      </c>
      <c r="D7" s="48">
        <f>'[4]DADs'!C36+5</f>
        <v>6.1475</v>
      </c>
      <c r="E7" s="48">
        <f>'[4]DADs'!D36+5</f>
        <v>5.05</v>
      </c>
      <c r="F7" s="48">
        <f>'[4]DADs'!E36+5</f>
        <v>5</v>
      </c>
      <c r="G7" s="48">
        <f>'[4]DADs'!F36</f>
        <v>0</v>
      </c>
      <c r="H7" s="48">
        <f>'[4]DADs'!G36</f>
        <v>0</v>
      </c>
      <c r="I7" s="48">
        <f>'[4]DADs'!H36</f>
        <v>0</v>
      </c>
      <c r="J7" s="48">
        <f>'[4]DADs'!I36</f>
        <v>0</v>
      </c>
      <c r="K7" s="48">
        <f>'[4]DADs'!J36</f>
        <v>0</v>
      </c>
      <c r="L7" s="48">
        <f>'[4]DADs'!K36</f>
        <v>0</v>
      </c>
      <c r="M7" s="48">
        <f t="shared" si="0"/>
        <v>19.19</v>
      </c>
      <c r="N7" s="48">
        <f t="shared" si="1"/>
        <v>19.19</v>
      </c>
    </row>
    <row r="8" spans="1:14" ht="15">
      <c r="A8" s="337"/>
      <c r="B8" s="49" t="str">
        <f>'[4]DADs'!A37</f>
        <v>Liechtenstein</v>
      </c>
      <c r="C8" s="48">
        <f>'[4]DADs'!B37</f>
        <v>0</v>
      </c>
      <c r="D8" s="48">
        <f>'[4]DADs'!C37</f>
        <v>0</v>
      </c>
      <c r="E8" s="48">
        <f>'[4]DADs'!D37</f>
        <v>0</v>
      </c>
      <c r="F8" s="48">
        <f>'[4]DADs'!E37</f>
        <v>0</v>
      </c>
      <c r="G8" s="48">
        <f>'[4]DADs'!F37</f>
        <v>0.04318575</v>
      </c>
      <c r="H8" s="48">
        <f>'[4]DADs'!G37</f>
        <v>0.01439525</v>
      </c>
      <c r="I8" s="48">
        <f>'[4]DADs'!H37</f>
        <v>0</v>
      </c>
      <c r="J8" s="48">
        <f>'[4]DADs'!I37</f>
        <v>0</v>
      </c>
      <c r="K8" s="48">
        <f>'[4]DADs'!J37</f>
        <v>0</v>
      </c>
      <c r="L8" s="48">
        <f>'[4]DADs'!K37</f>
        <v>0</v>
      </c>
      <c r="M8" s="48">
        <f t="shared" si="0"/>
        <v>0.057581</v>
      </c>
      <c r="N8" s="48">
        <f t="shared" si="1"/>
        <v>0.057581</v>
      </c>
    </row>
    <row r="9" spans="1:14" ht="15">
      <c r="A9" s="337"/>
      <c r="B9" s="49" t="str">
        <f>'[4]DADs'!A38</f>
        <v>Lithuania</v>
      </c>
      <c r="C9" s="48">
        <f>'[4]DADs'!B38</f>
        <v>0</v>
      </c>
      <c r="D9" s="48">
        <f>'[4]DADs'!C38</f>
        <v>0</v>
      </c>
      <c r="E9" s="48">
        <f>'[4]DADs'!D38</f>
        <v>0</v>
      </c>
      <c r="F9" s="48">
        <f>'[4]DADs'!E38</f>
        <v>0</v>
      </c>
      <c r="G9" s="48">
        <f>'[4]DADs'!F38</f>
        <v>0</v>
      </c>
      <c r="H9" s="48">
        <f>'[4]DADs'!G38</f>
        <v>0</v>
      </c>
      <c r="I9" s="48">
        <f>'[4]DADs'!H38</f>
        <v>0.18916349999999998</v>
      </c>
      <c r="J9" s="48">
        <f>'[4]DADs'!I38</f>
        <v>0.7496525</v>
      </c>
      <c r="K9" s="48">
        <f>'[4]DADs'!J38</f>
        <v>0.6841895</v>
      </c>
      <c r="L9" s="48">
        <f>'[4]DADs'!K38</f>
        <v>0.1517745</v>
      </c>
      <c r="M9" s="48">
        <f t="shared" si="0"/>
        <v>1.77478</v>
      </c>
      <c r="N9" s="48">
        <f t="shared" si="1"/>
        <v>1.6230055</v>
      </c>
    </row>
    <row r="10" spans="1:14" ht="15">
      <c r="A10" s="337"/>
      <c r="B10" s="49" t="str">
        <f>'[4]DADs'!A42</f>
        <v>Russian Federation</v>
      </c>
      <c r="C10" s="48">
        <f>'[4]DADs'!B42</f>
        <v>22.5</v>
      </c>
      <c r="D10" s="48">
        <f>'[4]DADs'!C42</f>
        <v>7.5</v>
      </c>
      <c r="E10" s="48">
        <f>'[4]DADs'!D42</f>
        <v>55.5</v>
      </c>
      <c r="F10" s="48">
        <f>'[4]DADs'!E42</f>
        <v>44.75</v>
      </c>
      <c r="G10" s="48">
        <f>'[4]DADs'!F42</f>
        <v>8.75</v>
      </c>
      <c r="H10" s="48">
        <f>'[4]DADs'!G42</f>
        <v>0</v>
      </c>
      <c r="I10" s="48">
        <f>'[4]DADs'!H42</f>
        <v>0</v>
      </c>
      <c r="J10" s="48">
        <f>'[4]DADs'!I42+2</f>
        <v>2</v>
      </c>
      <c r="K10" s="48">
        <f>'[4]DADs'!J42+2</f>
        <v>5.75</v>
      </c>
      <c r="L10" s="48">
        <f>'[4]DADs'!K42</f>
        <v>3.2</v>
      </c>
      <c r="M10" s="48">
        <f t="shared" si="0"/>
        <v>149.95</v>
      </c>
      <c r="N10" s="48">
        <f t="shared" si="1"/>
        <v>146.75</v>
      </c>
    </row>
    <row r="11" spans="1:14" ht="15">
      <c r="A11" s="337"/>
      <c r="B11" s="49" t="str">
        <f>'[4]DADs'!A43</f>
        <v>Saudi Arabia</v>
      </c>
      <c r="C11" s="48">
        <f>'[4]DADs'!B43</f>
        <v>0</v>
      </c>
      <c r="D11" s="48">
        <f>'[4]DADs'!C43+10</f>
        <v>10</v>
      </c>
      <c r="E11" s="48">
        <f>'[4]DADs'!D43+5</f>
        <v>5</v>
      </c>
      <c r="F11" s="48">
        <f>'[4]DADs'!E43+5</f>
        <v>5</v>
      </c>
      <c r="G11" s="48">
        <f>'[4]DADs'!F43</f>
        <v>0</v>
      </c>
      <c r="H11" s="48">
        <f>'[4]DADs'!G43+5</f>
        <v>5</v>
      </c>
      <c r="I11" s="48">
        <f>'[4]DADs'!H43</f>
        <v>0</v>
      </c>
      <c r="J11" s="48">
        <f>'[4]DADs'!I43</f>
        <v>0</v>
      </c>
      <c r="K11" s="48">
        <f>'[4]DADs'!J43</f>
        <v>0</v>
      </c>
      <c r="L11" s="48">
        <f>'[4]DADs'!K43</f>
        <v>0</v>
      </c>
      <c r="M11" s="48">
        <f t="shared" si="0"/>
        <v>25</v>
      </c>
      <c r="N11" s="48">
        <f t="shared" si="1"/>
        <v>25</v>
      </c>
    </row>
    <row r="12" spans="1:14" ht="15">
      <c r="A12" s="337"/>
      <c r="B12" s="49" t="str">
        <f>'[4]DADs'!A20</f>
        <v>Singapore</v>
      </c>
      <c r="C12" s="48">
        <f>'[4]DADs'!B20</f>
        <v>0.824176</v>
      </c>
      <c r="D12" s="48">
        <f>'[4]DADs'!C20</f>
        <v>0.676407</v>
      </c>
      <c r="E12" s="48">
        <f>'[4]DADs'!D20</f>
        <v>0</v>
      </c>
      <c r="F12" s="48">
        <f>'[4]DADs'!E20</f>
        <v>0</v>
      </c>
      <c r="G12" s="48">
        <f>'[4]DADs'!F20</f>
        <v>0</v>
      </c>
      <c r="H12" s="48">
        <f>'[4]DADs'!G20</f>
        <v>0</v>
      </c>
      <c r="I12" s="48">
        <f>'[4]DADs'!H20</f>
        <v>0</v>
      </c>
      <c r="J12" s="48">
        <f>'[4]DADs'!I20</f>
        <v>0</v>
      </c>
      <c r="K12" s="48">
        <f>'[4]DADs'!J20</f>
        <v>0</v>
      </c>
      <c r="L12" s="48">
        <f>'[4]DADs'!K20</f>
        <v>0</v>
      </c>
      <c r="M12" s="48">
        <f t="shared" si="0"/>
        <v>1.500583</v>
      </c>
      <c r="N12" s="48">
        <f t="shared" si="1"/>
        <v>1.500583</v>
      </c>
    </row>
    <row r="13" spans="1:14" ht="15">
      <c r="A13" s="338"/>
      <c r="B13" s="49" t="str">
        <f>'[4]DADs'!A21</f>
        <v>South Africa</v>
      </c>
      <c r="C13" s="48">
        <f>'[4]DADs'!B21</f>
        <v>0</v>
      </c>
      <c r="D13" s="48">
        <f>'[4]DADs'!C21</f>
        <v>0</v>
      </c>
      <c r="E13" s="48">
        <f>'[4]DADs'!D21</f>
        <v>0.006</v>
      </c>
      <c r="F13" s="48">
        <f>'[4]DADs'!E21</f>
        <v>0</v>
      </c>
      <c r="G13" s="48">
        <f>'[4]DADs'!F21</f>
        <v>0</v>
      </c>
      <c r="H13" s="48">
        <f>'[4]DADs'!G21</f>
        <v>0</v>
      </c>
      <c r="I13" s="48">
        <f>'[4]DADs'!H21</f>
        <v>0</v>
      </c>
      <c r="J13" s="48">
        <f>'[4]DADs'!I21</f>
        <v>0</v>
      </c>
      <c r="K13" s="48">
        <f>'[4]DADs'!J21</f>
        <v>0</v>
      </c>
      <c r="L13" s="48">
        <f>'[4]DADs'!K21</f>
        <v>0</v>
      </c>
      <c r="M13" s="48">
        <f t="shared" si="0"/>
        <v>0.006</v>
      </c>
      <c r="N13" s="48">
        <f t="shared" si="1"/>
        <v>0.006</v>
      </c>
    </row>
    <row r="14" spans="1:14" ht="15">
      <c r="A14" s="339" t="s">
        <v>29</v>
      </c>
      <c r="B14" s="49" t="s">
        <v>30</v>
      </c>
      <c r="C14" s="48">
        <f>'[4]ODA-DAC-Current'!AR40</f>
        <v>0.64</v>
      </c>
      <c r="D14" s="48">
        <f>'[4]ODA-DAC-Current'!AS40</f>
        <v>0.73</v>
      </c>
      <c r="E14" s="48">
        <f>'[4]ODA-DAC-Current'!AT40</f>
        <v>6.12</v>
      </c>
      <c r="F14" s="48">
        <f>'[4]ODA-DAC-Current'!AU40</f>
        <v>6.08</v>
      </c>
      <c r="G14" s="48">
        <f>'[4]ODA-DAC-Current'!AV40</f>
        <v>1.96</v>
      </c>
      <c r="H14" s="48">
        <f>'[4]ODA-DAC-Current'!AW40</f>
        <v>4.2</v>
      </c>
      <c r="I14" s="48">
        <f>'[4]ODA-DAC-Current'!AX40</f>
        <v>10.62</v>
      </c>
      <c r="J14" s="48">
        <f>'[4]ODA-DAC-Current'!AY40</f>
        <v>42.1</v>
      </c>
      <c r="K14" s="48">
        <f>'[4]ODA-DAC-Current'!AZ40</f>
        <v>26.09</v>
      </c>
      <c r="L14" s="50"/>
      <c r="M14" s="48">
        <f t="shared" si="0"/>
        <v>98.54</v>
      </c>
      <c r="N14" s="48">
        <f t="shared" si="1"/>
        <v>98.54</v>
      </c>
    </row>
    <row r="15" spans="1:14" ht="15">
      <c r="A15" s="339"/>
      <c r="B15" s="49" t="str">
        <f>'[4]ODA-DAC-Current'!A41</f>
        <v>Hungary</v>
      </c>
      <c r="C15" s="48" t="str">
        <f>'[4]ODA-DAC-Current'!AR41</f>
        <v>..</v>
      </c>
      <c r="D15" s="48" t="str">
        <f>'[4]ODA-DAC-Current'!AS41</f>
        <v>..</v>
      </c>
      <c r="E15" s="48" t="str">
        <f>'[4]ODA-DAC-Current'!AT41</f>
        <v>..</v>
      </c>
      <c r="F15" s="48">
        <f>'[4]ODA-DAC-Current'!AU41</f>
        <v>1.63</v>
      </c>
      <c r="G15" s="48">
        <f>'[4]ODA-DAC-Current'!AV41</f>
        <v>0.07</v>
      </c>
      <c r="H15" s="48">
        <f>'[4]ODA-DAC-Current'!AW41</f>
        <v>0.39</v>
      </c>
      <c r="I15" s="48">
        <f>'[4]ODA-DAC-Current'!AX41</f>
        <v>7.52</v>
      </c>
      <c r="J15" s="48">
        <f>'[4]ODA-DAC-Current'!AY41</f>
        <v>4.07</v>
      </c>
      <c r="K15" s="48">
        <f>'[4]ODA-DAC-Current'!AZ41</f>
        <v>8.45</v>
      </c>
      <c r="L15" s="50"/>
      <c r="M15" s="48">
        <f t="shared" si="0"/>
        <v>22.13</v>
      </c>
      <c r="N15" s="48">
        <f t="shared" si="1"/>
        <v>22.13</v>
      </c>
    </row>
    <row r="16" spans="1:14" ht="15">
      <c r="A16" s="339"/>
      <c r="B16" s="49" t="str">
        <f>'[4]ODA-DAC-Current'!A42</f>
        <v>Iceland</v>
      </c>
      <c r="C16" s="48" t="str">
        <f>'[4]ODA-DAC-Current'!AR42</f>
        <v>..</v>
      </c>
      <c r="D16" s="48" t="str">
        <f>'[4]ODA-DAC-Current'!AS42</f>
        <v>..</v>
      </c>
      <c r="E16" s="48" t="str">
        <f>'[4]ODA-DAC-Current'!AT42</f>
        <v>..</v>
      </c>
      <c r="F16" s="48" t="str">
        <f>'[4]ODA-DAC-Current'!AU42</f>
        <v>..</v>
      </c>
      <c r="G16" s="48">
        <f>'[4]ODA-DAC-Current'!AV42</f>
        <v>2.91</v>
      </c>
      <c r="H16" s="48">
        <f>'[4]ODA-DAC-Current'!AW42</f>
        <v>4.42</v>
      </c>
      <c r="I16" s="48">
        <f>'[4]ODA-DAC-Current'!AX42</f>
        <v>4.59</v>
      </c>
      <c r="J16" s="48">
        <f>'[4]ODA-DAC-Current'!AY42</f>
        <v>2.68</v>
      </c>
      <c r="K16" s="48">
        <f>'[4]ODA-DAC-Current'!AZ42</f>
        <v>1.43</v>
      </c>
      <c r="L16" s="50"/>
      <c r="M16" s="48">
        <f t="shared" si="0"/>
        <v>16.03</v>
      </c>
      <c r="N16" s="48">
        <f t="shared" si="1"/>
        <v>16.03</v>
      </c>
    </row>
    <row r="17" spans="1:14" ht="15">
      <c r="A17" s="339"/>
      <c r="B17" s="49" t="s">
        <v>31</v>
      </c>
      <c r="C17" s="48">
        <f>'[4]ODA-DAC-Current'!AR44</f>
        <v>0.1</v>
      </c>
      <c r="D17" s="48">
        <f>'[4]ODA-DAC-Current'!AS44</f>
        <v>0.3</v>
      </c>
      <c r="E17" s="48">
        <f>'[4]ODA-DAC-Current'!AT44</f>
        <v>0.11</v>
      </c>
      <c r="F17" s="48">
        <f>'[4]ODA-DAC-Current'!AU44</f>
        <v>0.21</v>
      </c>
      <c r="G17" s="48">
        <f>'[4]ODA-DAC-Current'!AV44</f>
        <v>0.33</v>
      </c>
      <c r="H17" s="48">
        <f>'[4]ODA-DAC-Current'!AW44</f>
        <v>0.55</v>
      </c>
      <c r="I17" s="48">
        <f>'[4]ODA-DAC-Current'!AX44</f>
        <v>1.81</v>
      </c>
      <c r="J17" s="48">
        <f>'[4]ODA-DAC-Current'!AY44</f>
        <v>1.89</v>
      </c>
      <c r="K17" s="48">
        <f>'[4]ODA-DAC-Current'!AZ44</f>
        <v>6.34</v>
      </c>
      <c r="L17" s="50"/>
      <c r="M17" s="48"/>
      <c r="N17" s="48"/>
    </row>
    <row r="18" spans="1:14" ht="15">
      <c r="A18" s="339"/>
      <c r="B18" s="49" t="str">
        <f>'[4]ODA-DAC-Current'!A43</f>
        <v>Israel</v>
      </c>
      <c r="C18" s="48">
        <f>'[4]ODA-DAC-Current'!AR43</f>
        <v>0.1</v>
      </c>
      <c r="D18" s="48">
        <f>'[4]ODA-DAC-Current'!AS43</f>
        <v>0.01</v>
      </c>
      <c r="E18" s="48" t="str">
        <f>'[4]ODA-DAC-Current'!AT43</f>
        <v>..</v>
      </c>
      <c r="F18" s="48" t="str">
        <f>'[4]ODA-DAC-Current'!AU43</f>
        <v>..</v>
      </c>
      <c r="G18" s="48" t="str">
        <f>'[4]ODA-DAC-Current'!AV43</f>
        <v>..</v>
      </c>
      <c r="H18" s="48" t="str">
        <f>'[4]ODA-DAC-Current'!AW43</f>
        <v>..</v>
      </c>
      <c r="I18" s="48" t="str">
        <f>'[4]ODA-DAC-Current'!AX43</f>
        <v>..</v>
      </c>
      <c r="J18" s="48" t="str">
        <f>'[4]ODA-DAC-Current'!AY43</f>
        <v>..</v>
      </c>
      <c r="K18" s="48" t="str">
        <f>'[4]ODA-DAC-Current'!AZ43</f>
        <v>..</v>
      </c>
      <c r="L18" s="50"/>
      <c r="M18" s="48">
        <f aca="true" t="shared" si="2" ref="M18:M23">SUM(C18:L18)</f>
        <v>0.11</v>
      </c>
      <c r="N18" s="48">
        <f aca="true" t="shared" si="3" ref="N18:N23">M18-L18</f>
        <v>0.11</v>
      </c>
    </row>
    <row r="19" spans="1:14" ht="15">
      <c r="A19" s="339"/>
      <c r="B19" s="49" t="str">
        <f>'[4]ODA-DAC-Current'!A45</f>
        <v>Slovak Republic</v>
      </c>
      <c r="C19" s="48" t="str">
        <f>'[4]ODA-DAC-Current'!AR45</f>
        <v>..</v>
      </c>
      <c r="D19" s="48" t="str">
        <f>'[4]ODA-DAC-Current'!AS45</f>
        <v>..</v>
      </c>
      <c r="E19" s="48">
        <f>'[4]ODA-DAC-Current'!AT45</f>
        <v>0.18</v>
      </c>
      <c r="F19" s="48">
        <f>'[4]ODA-DAC-Current'!AU45</f>
        <v>0.38</v>
      </c>
      <c r="G19" s="48">
        <f>'[4]ODA-DAC-Current'!AV45</f>
        <v>4.41</v>
      </c>
      <c r="H19" s="48">
        <f>'[4]ODA-DAC-Current'!AW45</f>
        <v>1.54</v>
      </c>
      <c r="I19" s="48">
        <f>'[4]ODA-DAC-Current'!AX45</f>
        <v>1.33</v>
      </c>
      <c r="J19" s="48">
        <f>'[4]ODA-DAC-Current'!AY45</f>
        <v>0.26</v>
      </c>
      <c r="K19" s="48">
        <f>'[4]ODA-DAC-Current'!AZ45</f>
        <v>0.52</v>
      </c>
      <c r="L19" s="50"/>
      <c r="M19" s="48">
        <f t="shared" si="2"/>
        <v>8.620000000000001</v>
      </c>
      <c r="N19" s="48">
        <f t="shared" si="3"/>
        <v>8.620000000000001</v>
      </c>
    </row>
    <row r="20" spans="1:14" ht="15">
      <c r="A20" s="339"/>
      <c r="B20" s="49" t="str">
        <f>'[4]ODA-DAC-Current'!A46</f>
        <v>Slovenia</v>
      </c>
      <c r="C20" s="48" t="str">
        <f>'[4]ODA-DAC-Current'!AR46</f>
        <v>..</v>
      </c>
      <c r="D20" s="48" t="str">
        <f>'[4]ODA-DAC-Current'!AS46</f>
        <v>..</v>
      </c>
      <c r="E20" s="48" t="str">
        <f>'[4]ODA-DAC-Current'!AT46</f>
        <v>..</v>
      </c>
      <c r="F20" s="48" t="str">
        <f>'[4]ODA-DAC-Current'!AU46</f>
        <v>..</v>
      </c>
      <c r="G20" s="48" t="str">
        <f>'[4]ODA-DAC-Current'!AV46</f>
        <v>..</v>
      </c>
      <c r="H20" s="48" t="str">
        <f>'[4]ODA-DAC-Current'!AW46</f>
        <v>..</v>
      </c>
      <c r="I20" s="48" t="str">
        <f>'[4]ODA-DAC-Current'!AX46</f>
        <v>..</v>
      </c>
      <c r="J20" s="48">
        <f>'[4]ODA-DAC-Current'!AY46</f>
        <v>0.15</v>
      </c>
      <c r="K20" s="48">
        <f>'[4]ODA-DAC-Current'!AZ46</f>
        <v>0.14</v>
      </c>
      <c r="L20" s="50"/>
      <c r="M20" s="48">
        <f t="shared" si="2"/>
        <v>0.29000000000000004</v>
      </c>
      <c r="N20" s="48">
        <f t="shared" si="3"/>
        <v>0.29000000000000004</v>
      </c>
    </row>
    <row r="21" spans="1:14" ht="15">
      <c r="A21" s="339"/>
      <c r="B21" s="49" t="str">
        <f>'[4]ODA-DAC-Current'!A47</f>
        <v>Thailand</v>
      </c>
      <c r="C21" s="48" t="str">
        <f>'[4]ODA-DAC-Current'!AR47</f>
        <v>..</v>
      </c>
      <c r="D21" s="48" t="str">
        <f>'[4]ODA-DAC-Current'!AS47</f>
        <v>..</v>
      </c>
      <c r="E21" s="48" t="str">
        <f>'[4]ODA-DAC-Current'!AT47</f>
        <v>..</v>
      </c>
      <c r="F21" s="48" t="str">
        <f>'[4]ODA-DAC-Current'!AU47</f>
        <v>..</v>
      </c>
      <c r="G21" s="48" t="str">
        <f>'[4]ODA-DAC-Current'!AV47</f>
        <v>..</v>
      </c>
      <c r="H21" s="48">
        <f>'[4]ODA-DAC-Current'!AW47</f>
        <v>0.05</v>
      </c>
      <c r="I21" s="48">
        <f>'[4]ODA-DAC-Current'!AX47</f>
        <v>0.18</v>
      </c>
      <c r="J21" s="48">
        <f>'[4]ODA-DAC-Current'!AY47</f>
        <v>0.18</v>
      </c>
      <c r="K21" s="48">
        <f>'[4]ODA-DAC-Current'!AZ47</f>
        <v>0.09</v>
      </c>
      <c r="L21" s="50"/>
      <c r="M21" s="48">
        <f t="shared" si="2"/>
        <v>0.5</v>
      </c>
      <c r="N21" s="48">
        <f t="shared" si="3"/>
        <v>0.5</v>
      </c>
    </row>
    <row r="22" spans="1:14" ht="15">
      <c r="A22" s="339"/>
      <c r="B22" s="49" t="str">
        <f>'[4]ODA-DAC-Current'!A48</f>
        <v>Turkey</v>
      </c>
      <c r="C22" s="48">
        <f>'[4]ODA-DAC-Current'!AR48</f>
        <v>0.43</v>
      </c>
      <c r="D22" s="48">
        <f>'[4]ODA-DAC-Current'!AS48</f>
        <v>0.38</v>
      </c>
      <c r="E22" s="48">
        <f>'[4]ODA-DAC-Current'!AT48</f>
        <v>0.7</v>
      </c>
      <c r="F22" s="48">
        <f>'[4]ODA-DAC-Current'!AU48</f>
        <v>8.74</v>
      </c>
      <c r="G22" s="48">
        <f>'[4]ODA-DAC-Current'!AV48</f>
        <v>28.56</v>
      </c>
      <c r="H22" s="48">
        <f>'[4]ODA-DAC-Current'!AW48</f>
        <v>57.65</v>
      </c>
      <c r="I22" s="48">
        <f>'[4]ODA-DAC-Current'!AX48</f>
        <v>71.61</v>
      </c>
      <c r="J22" s="48">
        <f>'[4]ODA-DAC-Current'!AY48</f>
        <v>141.96</v>
      </c>
      <c r="K22" s="48">
        <f>'[4]ODA-DAC-Current'!AZ48</f>
        <v>96.46</v>
      </c>
      <c r="L22" s="50"/>
      <c r="M22" s="48">
        <f t="shared" si="2"/>
        <v>406.48999999999995</v>
      </c>
      <c r="N22" s="48">
        <f t="shared" si="3"/>
        <v>406.48999999999995</v>
      </c>
    </row>
    <row r="23" spans="1:14" ht="15">
      <c r="A23" s="339"/>
      <c r="B23" t="str">
        <f>'[4]ODA-DAC-Current'!A49</f>
        <v>United Arab Emirates</v>
      </c>
      <c r="C23" s="48" t="str">
        <f>'[4]ODA-DAC-Current'!AR49</f>
        <v>..</v>
      </c>
      <c r="D23" s="48" t="str">
        <f>'[4]ODA-DAC-Current'!AS49</f>
        <v>..</v>
      </c>
      <c r="E23" s="48" t="str">
        <f>'[4]ODA-DAC-Current'!AT49</f>
        <v>..</v>
      </c>
      <c r="F23" s="48" t="str">
        <f>'[4]ODA-DAC-Current'!AU49</f>
        <v>..</v>
      </c>
      <c r="G23" s="48" t="str">
        <f>'[4]ODA-DAC-Current'!AV49</f>
        <v>..</v>
      </c>
      <c r="H23" s="48" t="str">
        <f>'[4]ODA-DAC-Current'!AW49</f>
        <v>..</v>
      </c>
      <c r="I23" s="48">
        <f>'[4]ODA-DAC-Current'!AX49</f>
        <v>0.35</v>
      </c>
      <c r="J23" s="48">
        <f>'[4]ODA-DAC-Current'!AY49</f>
        <v>3.12</v>
      </c>
      <c r="K23" s="48">
        <f>'[4]ODA-DAC-Current'!AZ49</f>
        <v>46.84</v>
      </c>
      <c r="L23" s="50"/>
      <c r="M23" s="48">
        <f t="shared" si="2"/>
        <v>50.31</v>
      </c>
      <c r="N23" s="48">
        <f t="shared" si="3"/>
        <v>50.31</v>
      </c>
    </row>
    <row r="24" spans="1:14" ht="15">
      <c r="A24" s="49"/>
      <c r="B24" s="49" t="s">
        <v>32</v>
      </c>
      <c r="C24" s="48">
        <f>SUM(C2:C23)</f>
        <v>49.00329575000001</v>
      </c>
      <c r="D24" s="48">
        <f aca="true" t="shared" si="4" ref="D24:N24">SUM(D2:D23)</f>
        <v>83.36653025</v>
      </c>
      <c r="E24" s="48">
        <f t="shared" si="4"/>
        <v>190.77550025000002</v>
      </c>
      <c r="F24" s="48">
        <f t="shared" si="4"/>
        <v>156.63441687500003</v>
      </c>
      <c r="G24" s="48">
        <f t="shared" si="4"/>
        <v>198.50401925000003</v>
      </c>
      <c r="H24" s="48">
        <f t="shared" si="4"/>
        <v>172.99772875000002</v>
      </c>
      <c r="I24" s="48">
        <f t="shared" si="4"/>
        <v>180.594997</v>
      </c>
      <c r="J24" s="48">
        <f t="shared" si="4"/>
        <v>363.222985875</v>
      </c>
      <c r="K24" s="48">
        <f t="shared" si="4"/>
        <v>247.55191275</v>
      </c>
      <c r="L24" s="48">
        <f t="shared" si="4"/>
        <v>5.7026822500000005</v>
      </c>
      <c r="M24" s="48">
        <f t="shared" si="4"/>
        <v>1636.7140689999999</v>
      </c>
      <c r="N24" s="48">
        <f t="shared" si="4"/>
        <v>1631.01138675</v>
      </c>
    </row>
    <row r="27" spans="3:11" ht="15.75" thickBot="1">
      <c r="C27" s="41"/>
      <c r="D27" s="41">
        <v>2002</v>
      </c>
      <c r="E27" s="41">
        <v>2003</v>
      </c>
      <c r="F27" s="41">
        <v>2004</v>
      </c>
      <c r="G27" s="41">
        <v>2005</v>
      </c>
      <c r="H27" s="41">
        <v>2006</v>
      </c>
      <c r="I27" s="41">
        <v>2007</v>
      </c>
      <c r="J27" s="41">
        <v>2008</v>
      </c>
      <c r="K27" s="41">
        <v>2009</v>
      </c>
    </row>
    <row r="28" spans="3:11" ht="15">
      <c r="C28" s="51" t="s">
        <v>0</v>
      </c>
      <c r="D28" s="52">
        <f aca="true" t="shared" si="5" ref="D28:K28">D6</f>
        <v>15.58</v>
      </c>
      <c r="E28" s="52">
        <f t="shared" si="5"/>
        <v>50.22250025</v>
      </c>
      <c r="F28" s="52">
        <f t="shared" si="5"/>
        <v>23.554166875</v>
      </c>
      <c r="G28" s="52">
        <f t="shared" si="5"/>
        <v>98.65708350000001</v>
      </c>
      <c r="H28" s="52">
        <f t="shared" si="5"/>
        <v>43.8570835</v>
      </c>
      <c r="I28" s="52">
        <f t="shared" si="5"/>
        <v>30.508333499999996</v>
      </c>
      <c r="J28" s="52">
        <f t="shared" si="5"/>
        <v>124.138333375</v>
      </c>
      <c r="K28" s="52">
        <f t="shared" si="5"/>
        <v>45.640223250000005</v>
      </c>
    </row>
    <row r="29" spans="3:11" ht="15">
      <c r="C29" s="51" t="s">
        <v>33</v>
      </c>
      <c r="D29" s="52">
        <f aca="true" t="shared" si="6" ref="D29:K29">D22</f>
        <v>0.38</v>
      </c>
      <c r="E29" s="52">
        <f t="shared" si="6"/>
        <v>0.7</v>
      </c>
      <c r="F29" s="52">
        <f t="shared" si="6"/>
        <v>8.74</v>
      </c>
      <c r="G29" s="52">
        <f t="shared" si="6"/>
        <v>28.56</v>
      </c>
      <c r="H29" s="52">
        <f t="shared" si="6"/>
        <v>57.65</v>
      </c>
      <c r="I29" s="52">
        <f t="shared" si="6"/>
        <v>71.61</v>
      </c>
      <c r="J29" s="52">
        <f t="shared" si="6"/>
        <v>141.96</v>
      </c>
      <c r="K29" s="52">
        <f t="shared" si="6"/>
        <v>96.46</v>
      </c>
    </row>
    <row r="30" spans="3:11" ht="15">
      <c r="C30" s="51" t="s">
        <v>34</v>
      </c>
      <c r="D30" s="52">
        <f aca="true" t="shared" si="7" ref="D30:K30">D5</f>
        <v>35.433749999999996</v>
      </c>
      <c r="E30" s="52">
        <f t="shared" si="7"/>
        <v>67.387</v>
      </c>
      <c r="F30" s="52">
        <f t="shared" si="7"/>
        <v>53.22775</v>
      </c>
      <c r="G30" s="52">
        <f t="shared" si="7"/>
        <v>50.126250000000006</v>
      </c>
      <c r="H30" s="52">
        <f t="shared" si="7"/>
        <v>52.08624999999999</v>
      </c>
      <c r="I30" s="52">
        <f t="shared" si="7"/>
        <v>42.0625</v>
      </c>
      <c r="J30" s="52">
        <f t="shared" si="7"/>
        <v>32.9075</v>
      </c>
      <c r="K30" s="52">
        <f t="shared" si="7"/>
        <v>7.75</v>
      </c>
    </row>
    <row r="31" spans="3:11" ht="15">
      <c r="C31" s="51" t="s">
        <v>35</v>
      </c>
      <c r="D31" s="52">
        <f aca="true" t="shared" si="8" ref="D31:K31">D10</f>
        <v>7.5</v>
      </c>
      <c r="E31" s="52">
        <f t="shared" si="8"/>
        <v>55.5</v>
      </c>
      <c r="F31" s="52">
        <f t="shared" si="8"/>
        <v>44.75</v>
      </c>
      <c r="G31" s="52">
        <f t="shared" si="8"/>
        <v>8.75</v>
      </c>
      <c r="H31" s="52">
        <f t="shared" si="8"/>
        <v>0</v>
      </c>
      <c r="I31" s="52">
        <f t="shared" si="8"/>
        <v>0</v>
      </c>
      <c r="J31" s="52">
        <f t="shared" si="8"/>
        <v>2</v>
      </c>
      <c r="K31" s="52">
        <f t="shared" si="8"/>
        <v>5.75</v>
      </c>
    </row>
    <row r="32" spans="3:11" ht="15">
      <c r="C32" s="51" t="s">
        <v>30</v>
      </c>
      <c r="D32" s="52">
        <f aca="true" t="shared" si="9" ref="D32:K32">D14</f>
        <v>0.73</v>
      </c>
      <c r="E32" s="52">
        <f t="shared" si="9"/>
        <v>6.12</v>
      </c>
      <c r="F32" s="52">
        <f t="shared" si="9"/>
        <v>6.08</v>
      </c>
      <c r="G32" s="52">
        <f t="shared" si="9"/>
        <v>1.96</v>
      </c>
      <c r="H32" s="52">
        <f t="shared" si="9"/>
        <v>4.2</v>
      </c>
      <c r="I32" s="52">
        <f t="shared" si="9"/>
        <v>10.62</v>
      </c>
      <c r="J32" s="52">
        <f t="shared" si="9"/>
        <v>42.1</v>
      </c>
      <c r="K32" s="52">
        <f t="shared" si="9"/>
        <v>26.09</v>
      </c>
    </row>
    <row r="33" spans="3:11" ht="15">
      <c r="C33" s="51" t="s">
        <v>36</v>
      </c>
      <c r="D33" s="52">
        <f aca="true" t="shared" si="10" ref="D33:K33">D24-SUM(D28:D32)</f>
        <v>23.742780250000003</v>
      </c>
      <c r="E33" s="52">
        <f t="shared" si="10"/>
        <v>10.846000000000004</v>
      </c>
      <c r="F33" s="52">
        <f t="shared" si="10"/>
        <v>20.282500000000027</v>
      </c>
      <c r="G33" s="52">
        <f t="shared" si="10"/>
        <v>10.450685749999991</v>
      </c>
      <c r="H33" s="52">
        <f t="shared" si="10"/>
        <v>15.204395250000061</v>
      </c>
      <c r="I33" s="52">
        <f t="shared" si="10"/>
        <v>25.794163499999996</v>
      </c>
      <c r="J33" s="52">
        <f t="shared" si="10"/>
        <v>20.117152499999918</v>
      </c>
      <c r="K33" s="52">
        <f t="shared" si="10"/>
        <v>65.86168950000001</v>
      </c>
    </row>
    <row r="45" ht="15">
      <c r="C45">
        <f>36-(25.5+1.6)</f>
        <v>8.899999999999999</v>
      </c>
    </row>
    <row r="55" ht="15">
      <c r="C55" s="288" t="s">
        <v>512</v>
      </c>
    </row>
    <row r="56" ht="15">
      <c r="C56" s="288" t="s">
        <v>513</v>
      </c>
    </row>
  </sheetData>
  <sheetProtection/>
  <mergeCells count="2">
    <mergeCell ref="A2:A13"/>
    <mergeCell ref="A14:A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Lydia</cp:lastModifiedBy>
  <dcterms:created xsi:type="dcterms:W3CDTF">2011-01-13T11:26:04Z</dcterms:created>
  <dcterms:modified xsi:type="dcterms:W3CDTF">2011-02-25T10:16:05Z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